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autoCompressPictures="0"/>
  <mc:AlternateContent xmlns:mc="http://schemas.openxmlformats.org/markup-compatibility/2006">
    <mc:Choice Requires="x15">
      <x15ac:absPath xmlns:x15ac="http://schemas.microsoft.com/office/spreadsheetml/2010/11/ac" url="\\apo.epson.net\b004\PUB0223\CSR調達\11.サプライヤーサイト\FY25\251104更新\"/>
    </mc:Choice>
  </mc:AlternateContent>
  <xr:revisionPtr revIDLastSave="0" documentId="8_{3F41B7F5-D91F-4FE0-83C7-F77D9F1AB44A}"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A68" i="2" s="1"/>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9" i="4" s="1"/>
  <c r="R19" i="4" s="1"/>
  <c r="P18" i="4"/>
  <c r="P21" i="4"/>
  <c r="P20" i="4"/>
  <c r="Q20" i="4"/>
  <c r="Q18" i="4"/>
  <c r="P17" i="4"/>
  <c r="Q17" i="4" s="1"/>
  <c r="P16" i="4"/>
  <c r="P15" i="4"/>
  <c r="Q15" i="4"/>
  <c r="P14" i="4"/>
  <c r="Q14" i="4" s="1"/>
  <c r="P13" i="4"/>
  <c r="Q12" i="4" s="1"/>
  <c r="R12" i="4" s="1"/>
  <c r="P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S20" i="4" s="1"/>
  <c r="T20" i="4" s="1"/>
  <c r="U20" i="4" s="1"/>
  <c r="Q21" i="4"/>
  <c r="R21" i="4"/>
  <c r="S21" i="4"/>
  <c r="T21" i="4"/>
  <c r="U21" i="4" s="1"/>
  <c r="V21" i="4" s="1"/>
  <c r="W21" i="4" s="1"/>
  <c r="X21" i="4" s="1"/>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C13" i="6" s="1"/>
  <c r="M4" i="20"/>
  <c r="L4" i="20"/>
  <c r="K4" i="20"/>
  <c r="J4" i="20"/>
  <c r="I4" i="20"/>
  <c r="H4" i="20"/>
  <c r="G4" i="20"/>
  <c r="F4" i="20"/>
  <c r="E4" i="20"/>
  <c r="D4" i="20"/>
  <c r="C4" i="20"/>
  <c r="B4" i="20"/>
  <c r="A4" i="20"/>
  <c r="B3" i="20"/>
  <c r="B2" i="20"/>
  <c r="J4" i="6"/>
  <c r="C4" i="6" s="1"/>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E13" i="5"/>
  <c r="X13" i="5" s="1"/>
  <c r="V14" i="5"/>
  <c r="E14" i="5"/>
  <c r="X14" i="5" s="1"/>
  <c r="V15" i="5"/>
  <c r="E15" i="5"/>
  <c r="X15" i="5" s="1"/>
  <c r="V16" i="5"/>
  <c r="E16" i="5"/>
  <c r="V17" i="5"/>
  <c r="E17" i="5"/>
  <c r="X17" i="5" s="1"/>
  <c r="V18" i="5"/>
  <c r="E18" i="5"/>
  <c r="X18" i="5" s="1"/>
  <c r="V19" i="5"/>
  <c r="E19" i="5"/>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V71" i="5"/>
  <c r="E71" i="5"/>
  <c r="X71" i="5" s="1"/>
  <c r="V72" i="5"/>
  <c r="E72" i="5"/>
  <c r="X72" i="5" s="1"/>
  <c r="V73" i="5"/>
  <c r="E73" i="5"/>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X92" i="5" s="1"/>
  <c r="V93" i="5"/>
  <c r="E93" i="5"/>
  <c r="X93" i="5" s="1"/>
  <c r="V94" i="5"/>
  <c r="E94" i="5"/>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V119" i="5"/>
  <c r="E119" i="5"/>
  <c r="X119" i="5" s="1"/>
  <c r="V120" i="5"/>
  <c r="E120" i="5"/>
  <c r="X120" i="5" s="1"/>
  <c r="V121" i="5"/>
  <c r="E121" i="5"/>
  <c r="X121" i="5" s="1"/>
  <c r="V122" i="5"/>
  <c r="E122" i="5"/>
  <c r="X122" i="5" s="1"/>
  <c r="V123" i="5"/>
  <c r="E123" i="5"/>
  <c r="X123" i="5" s="1"/>
  <c r="V124" i="5"/>
  <c r="E124" i="5"/>
  <c r="V125" i="5"/>
  <c r="E125" i="5"/>
  <c r="X125" i="5" s="1"/>
  <c r="V126" i="5"/>
  <c r="E126" i="5"/>
  <c r="X126" i="5" s="1"/>
  <c r="V127" i="5"/>
  <c r="E127" i="5"/>
  <c r="X127" i="5" s="1"/>
  <c r="V128" i="5"/>
  <c r="E128" i="5"/>
  <c r="X128" i="5" s="1"/>
  <c r="V129" i="5"/>
  <c r="E129" i="5"/>
  <c r="X129" i="5" s="1"/>
  <c r="V130" i="5"/>
  <c r="E130" i="5"/>
  <c r="V131" i="5"/>
  <c r="E131" i="5"/>
  <c r="X131" i="5" s="1"/>
  <c r="V132" i="5"/>
  <c r="E132" i="5"/>
  <c r="X132" i="5" s="1"/>
  <c r="V133" i="5"/>
  <c r="E133" i="5"/>
  <c r="X133" i="5" s="1"/>
  <c r="V134" i="5"/>
  <c r="E134" i="5"/>
  <c r="X134" i="5" s="1"/>
  <c r="V135" i="5"/>
  <c r="E135" i="5"/>
  <c r="X135" i="5" s="1"/>
  <c r="V136" i="5"/>
  <c r="E136" i="5"/>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V161" i="5"/>
  <c r="E161" i="5"/>
  <c r="X161" i="5" s="1"/>
  <c r="V162" i="5"/>
  <c r="E162" i="5"/>
  <c r="X162" i="5" s="1"/>
  <c r="V163" i="5"/>
  <c r="E163" i="5"/>
  <c r="X163" i="5" s="1"/>
  <c r="V164" i="5"/>
  <c r="E164" i="5"/>
  <c r="X164" i="5" s="1"/>
  <c r="V165" i="5"/>
  <c r="E165" i="5"/>
  <c r="X165" i="5" s="1"/>
  <c r="V166" i="5"/>
  <c r="E166" i="5"/>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V191" i="5"/>
  <c r="E191" i="5"/>
  <c r="X191" i="5" s="1"/>
  <c r="V192" i="5"/>
  <c r="E192" i="5"/>
  <c r="X192" i="5" s="1"/>
  <c r="V193" i="5"/>
  <c r="E193" i="5"/>
  <c r="X193" i="5" s="1"/>
  <c r="V194" i="5"/>
  <c r="E194" i="5"/>
  <c r="X194" i="5" s="1"/>
  <c r="V195" i="5"/>
  <c r="E195" i="5"/>
  <c r="X195" i="5" s="1"/>
  <c r="V196" i="5"/>
  <c r="E196" i="5"/>
  <c r="V197" i="5"/>
  <c r="E197" i="5"/>
  <c r="X197" i="5" s="1"/>
  <c r="V198" i="5"/>
  <c r="E198" i="5"/>
  <c r="X198" i="5" s="1"/>
  <c r="V199" i="5"/>
  <c r="E199" i="5"/>
  <c r="X199" i="5" s="1"/>
  <c r="V200" i="5"/>
  <c r="E200" i="5"/>
  <c r="X200" i="5" s="1"/>
  <c r="V201" i="5"/>
  <c r="E201" i="5"/>
  <c r="X201" i="5" s="1"/>
  <c r="V202" i="5"/>
  <c r="E202" i="5"/>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V227" i="5"/>
  <c r="E227" i="5"/>
  <c r="X227" i="5" s="1"/>
  <c r="V228" i="5"/>
  <c r="E228" i="5"/>
  <c r="X228" i="5" s="1"/>
  <c r="V229" i="5"/>
  <c r="E229" i="5"/>
  <c r="X229" i="5" s="1"/>
  <c r="V230" i="5"/>
  <c r="E230" i="5"/>
  <c r="X230" i="5" s="1"/>
  <c r="V231" i="5"/>
  <c r="E231" i="5"/>
  <c r="X231" i="5" s="1"/>
  <c r="V232" i="5"/>
  <c r="E232" i="5"/>
  <c r="V233" i="5"/>
  <c r="E233" i="5"/>
  <c r="X233" i="5" s="1"/>
  <c r="V234" i="5"/>
  <c r="E234" i="5"/>
  <c r="V235" i="5"/>
  <c r="E235" i="5"/>
  <c r="X235" i="5" s="1"/>
  <c r="V236" i="5"/>
  <c r="E236" i="5"/>
  <c r="X236" i="5" s="1"/>
  <c r="V237" i="5"/>
  <c r="E237" i="5"/>
  <c r="X237" i="5" s="1"/>
  <c r="V238" i="5"/>
  <c r="E238" i="5"/>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V263" i="5"/>
  <c r="E263" i="5"/>
  <c r="X263" i="5" s="1"/>
  <c r="V264" i="5"/>
  <c r="E264" i="5"/>
  <c r="X264" i="5" s="1"/>
  <c r="V265" i="5"/>
  <c r="E265" i="5"/>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V281" i="5"/>
  <c r="E281" i="5"/>
  <c r="X281" i="5" s="1"/>
  <c r="V282" i="5"/>
  <c r="E282" i="5"/>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V305" i="5"/>
  <c r="E305" i="5"/>
  <c r="X305" i="5" s="1"/>
  <c r="V306" i="5"/>
  <c r="E306" i="5"/>
  <c r="X306" i="5" s="1"/>
  <c r="V307" i="5"/>
  <c r="E307" i="5"/>
  <c r="X307" i="5" s="1"/>
  <c r="V308" i="5"/>
  <c r="E308" i="5"/>
  <c r="X308" i="5" s="1"/>
  <c r="V309" i="5"/>
  <c r="E309" i="5"/>
  <c r="X309" i="5" s="1"/>
  <c r="V310" i="5"/>
  <c r="E310" i="5"/>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V320" i="5"/>
  <c r="E320" i="5"/>
  <c r="X320" i="5" s="1"/>
  <c r="V321" i="5"/>
  <c r="E321" i="5"/>
  <c r="X321" i="5" s="1"/>
  <c r="V322" i="5"/>
  <c r="E322" i="5"/>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V401" i="5"/>
  <c r="E401" i="5"/>
  <c r="X401" i="5" s="1"/>
  <c r="V402" i="5"/>
  <c r="E402" i="5"/>
  <c r="X402" i="5" s="1"/>
  <c r="V403" i="5"/>
  <c r="E403" i="5"/>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V413" i="5"/>
  <c r="E413" i="5"/>
  <c r="X413" i="5" s="1"/>
  <c r="V414" i="5"/>
  <c r="E414" i="5"/>
  <c r="X414" i="5" s="1"/>
  <c r="V415" i="5"/>
  <c r="E415" i="5"/>
  <c r="X415" i="5" s="1"/>
  <c r="V416" i="5"/>
  <c r="E416" i="5"/>
  <c r="X416" i="5" s="1"/>
  <c r="V417" i="5"/>
  <c r="E417" i="5"/>
  <c r="X417" i="5" s="1"/>
  <c r="V418" i="5"/>
  <c r="E418" i="5"/>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V467" i="5"/>
  <c r="E467" i="5"/>
  <c r="X467" i="5" s="1"/>
  <c r="V468" i="5"/>
  <c r="E468" i="5"/>
  <c r="X468" i="5" s="1"/>
  <c r="V469" i="5"/>
  <c r="E469" i="5"/>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V599" i="5"/>
  <c r="E599" i="5"/>
  <c r="X599" i="5" s="1"/>
  <c r="V600" i="5"/>
  <c r="E600" i="5"/>
  <c r="X600" i="5" s="1"/>
  <c r="V601" i="5"/>
  <c r="E601" i="5"/>
  <c r="X601" i="5" s="1"/>
  <c r="V602" i="5"/>
  <c r="E602" i="5"/>
  <c r="X602" i="5" s="1"/>
  <c r="V603" i="5"/>
  <c r="E603" i="5"/>
  <c r="X603" i="5" s="1"/>
  <c r="V604" i="5"/>
  <c r="E604" i="5"/>
  <c r="V605" i="5"/>
  <c r="E605" i="5"/>
  <c r="X605" i="5" s="1"/>
  <c r="V606" i="5"/>
  <c r="E606" i="5"/>
  <c r="X606" i="5" s="1"/>
  <c r="V607" i="5"/>
  <c r="E607" i="5"/>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V671" i="5"/>
  <c r="E671" i="5"/>
  <c r="X671" i="5" s="1"/>
  <c r="V672" i="5"/>
  <c r="E672" i="5"/>
  <c r="X672" i="5" s="1"/>
  <c r="V673" i="5"/>
  <c r="E673" i="5"/>
  <c r="X673" i="5" s="1"/>
  <c r="V674" i="5"/>
  <c r="E674" i="5"/>
  <c r="X674" i="5" s="1"/>
  <c r="V675" i="5"/>
  <c r="E675" i="5"/>
  <c r="X675" i="5" s="1"/>
  <c r="V676" i="5"/>
  <c r="E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V689" i="5"/>
  <c r="E689" i="5"/>
  <c r="X689" i="5" s="1"/>
  <c r="V690" i="5"/>
  <c r="E690" i="5"/>
  <c r="X690" i="5" s="1"/>
  <c r="V691" i="5"/>
  <c r="E691" i="5"/>
  <c r="V692" i="5"/>
  <c r="E692" i="5"/>
  <c r="X692" i="5" s="1"/>
  <c r="V693" i="5"/>
  <c r="E693" i="5"/>
  <c r="X693" i="5" s="1"/>
  <c r="V694" i="5"/>
  <c r="E694" i="5"/>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V746" i="5"/>
  <c r="E746" i="5"/>
  <c r="X746" i="5" s="1"/>
  <c r="V747" i="5"/>
  <c r="E747" i="5"/>
  <c r="X747" i="5" s="1"/>
  <c r="V748" i="5"/>
  <c r="E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V761" i="5"/>
  <c r="E761" i="5"/>
  <c r="X761" i="5" s="1"/>
  <c r="V762" i="5"/>
  <c r="E762" i="5"/>
  <c r="X762" i="5" s="1"/>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V779" i="5"/>
  <c r="E779" i="5"/>
  <c r="X779" i="5" s="1"/>
  <c r="V780" i="5"/>
  <c r="E780" i="5"/>
  <c r="X780" i="5" s="1"/>
  <c r="V781" i="5"/>
  <c r="E781" i="5"/>
  <c r="X781" i="5" s="1"/>
  <c r="V782" i="5"/>
  <c r="E782" i="5"/>
  <c r="X782" i="5" s="1"/>
  <c r="V783" i="5"/>
  <c r="E783" i="5"/>
  <c r="X783" i="5" s="1"/>
  <c r="V784" i="5"/>
  <c r="E784" i="5"/>
  <c r="V785" i="5"/>
  <c r="E785" i="5"/>
  <c r="X785" i="5" s="1"/>
  <c r="V786" i="5"/>
  <c r="E786" i="5"/>
  <c r="X786" i="5" s="1"/>
  <c r="V787" i="5"/>
  <c r="E787" i="5"/>
  <c r="X787" i="5" s="1"/>
  <c r="V788" i="5"/>
  <c r="E788" i="5"/>
  <c r="X788" i="5" s="1"/>
  <c r="V789" i="5"/>
  <c r="E789" i="5"/>
  <c r="X789" i="5" s="1"/>
  <c r="V790" i="5"/>
  <c r="E790" i="5"/>
  <c r="V791" i="5"/>
  <c r="E791" i="5"/>
  <c r="X791" i="5" s="1"/>
  <c r="V792" i="5"/>
  <c r="E792" i="5"/>
  <c r="X792" i="5" s="1"/>
  <c r="V793" i="5"/>
  <c r="E793" i="5"/>
  <c r="X793" i="5" s="1"/>
  <c r="V794" i="5"/>
  <c r="E794" i="5"/>
  <c r="X794" i="5" s="1"/>
  <c r="V795" i="5"/>
  <c r="E795" i="5"/>
  <c r="X795" i="5" s="1"/>
  <c r="V796" i="5"/>
  <c r="E796" i="5"/>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V836" i="5"/>
  <c r="E836" i="5"/>
  <c r="X836" i="5" s="1"/>
  <c r="V837" i="5"/>
  <c r="E837" i="5"/>
  <c r="X837" i="5" s="1"/>
  <c r="V838" i="5"/>
  <c r="E838" i="5"/>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V971" i="5"/>
  <c r="E971" i="5"/>
  <c r="X971" i="5" s="1"/>
  <c r="V972" i="5"/>
  <c r="E972" i="5"/>
  <c r="X972" i="5" s="1"/>
  <c r="V973" i="5"/>
  <c r="E973" i="5"/>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V1583" i="5"/>
  <c r="E1583" i="5"/>
  <c r="X1583" i="5" s="1"/>
  <c r="V1584" i="5"/>
  <c r="E1584" i="5"/>
  <c r="X1584" i="5" s="1"/>
  <c r="V1585" i="5"/>
  <c r="E1585" i="5"/>
  <c r="V1586" i="5"/>
  <c r="E1586" i="5"/>
  <c r="X1586" i="5" s="1"/>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V1640" i="5"/>
  <c r="E1640" i="5"/>
  <c r="X1640" i="5" s="1"/>
  <c r="V1641" i="5"/>
  <c r="E1641" i="5"/>
  <c r="X1641" i="5" s="1"/>
  <c r="V1642" i="5"/>
  <c r="E1642" i="5"/>
  <c r="V1643" i="5"/>
  <c r="E1643" i="5"/>
  <c r="X1643" i="5" s="1"/>
  <c r="V1644" i="5"/>
  <c r="E1644" i="5"/>
  <c r="X1644" i="5" s="1"/>
  <c r="V1645" i="5"/>
  <c r="E1645" i="5"/>
  <c r="X1645" i="5" s="1"/>
  <c r="V1646" i="5"/>
  <c r="E1646" i="5"/>
  <c r="X1646" i="5" s="1"/>
  <c r="V1647" i="5"/>
  <c r="E1647" i="5"/>
  <c r="X1647" i="5" s="1"/>
  <c r="V1648" i="5"/>
  <c r="E1648" i="5"/>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V1709" i="5"/>
  <c r="E1709" i="5"/>
  <c r="X1709" i="5" s="1"/>
  <c r="V1710" i="5"/>
  <c r="E1710" i="5"/>
  <c r="X1710" i="5" s="1"/>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X1760" i="5" s="1"/>
  <c r="V1761" i="5"/>
  <c r="E1761" i="5"/>
  <c r="X1761" i="5" s="1"/>
  <c r="V1762" i="5"/>
  <c r="E1762" i="5"/>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V1787" i="5"/>
  <c r="E1787" i="5"/>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X1796" i="5" s="1"/>
  <c r="V1797" i="5"/>
  <c r="E1797" i="5"/>
  <c r="X1797" i="5" s="1"/>
  <c r="V1798" i="5"/>
  <c r="E1798" i="5"/>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X1923" i="5" s="1"/>
  <c r="V1924" i="5"/>
  <c r="E1924" i="5"/>
  <c r="V1925" i="5"/>
  <c r="E1925" i="5"/>
  <c r="X1925" i="5" s="1"/>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X2090" i="5" s="1"/>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V2126" i="5"/>
  <c r="E2126" i="5"/>
  <c r="X2126" i="5" s="1"/>
  <c r="V2127" i="5"/>
  <c r="E2127" i="5"/>
  <c r="X2127" i="5" s="1"/>
  <c r="V2128" i="5"/>
  <c r="E2128" i="5"/>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V2147" i="5"/>
  <c r="E2147" i="5"/>
  <c r="X2147" i="5" s="1"/>
  <c r="V2148" i="5"/>
  <c r="E2148" i="5"/>
  <c r="X2148" i="5" s="1"/>
  <c r="V2149" i="5"/>
  <c r="E2149" i="5"/>
  <c r="X2149" i="5" s="1"/>
  <c r="V2150" i="5"/>
  <c r="E2150" i="5"/>
  <c r="X2150" i="5" s="1"/>
  <c r="V2151" i="5"/>
  <c r="E2151" i="5"/>
  <c r="X2151" i="5" s="1"/>
  <c r="V2152" i="5"/>
  <c r="E2152" i="5"/>
  <c r="V2153" i="5"/>
  <c r="E2153" i="5"/>
  <c r="X2153" i="5" s="1"/>
  <c r="V2154" i="5"/>
  <c r="E2154" i="5"/>
  <c r="X2154" i="5" s="1"/>
  <c r="V2155" i="5"/>
  <c r="E2155" i="5"/>
  <c r="V2156" i="5"/>
  <c r="E2156" i="5"/>
  <c r="X2156" i="5" s="1"/>
  <c r="V2157" i="5"/>
  <c r="E2157" i="5"/>
  <c r="X2157" i="5" s="1"/>
  <c r="V2158" i="5"/>
  <c r="E2158" i="5"/>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V2219" i="5"/>
  <c r="E2219" i="5"/>
  <c r="X2219" i="5" s="1"/>
  <c r="V2220" i="5"/>
  <c r="E2220" i="5"/>
  <c r="X2220" i="5" s="1"/>
  <c r="V2221" i="5"/>
  <c r="E2221" i="5"/>
  <c r="X2221" i="5" s="1"/>
  <c r="V2222" i="5"/>
  <c r="E2222" i="5"/>
  <c r="X2222" i="5" s="1"/>
  <c r="V2223" i="5"/>
  <c r="E2223" i="5"/>
  <c r="X2223" i="5" s="1"/>
  <c r="V2224" i="5"/>
  <c r="E2224" i="5"/>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V2315" i="5"/>
  <c r="E2315" i="5"/>
  <c r="X2315" i="5" s="1"/>
  <c r="V2316" i="5"/>
  <c r="E2316" i="5"/>
  <c r="X2316" i="5" s="1"/>
  <c r="V2317" i="5"/>
  <c r="E2317" i="5"/>
  <c r="X2317" i="5" s="1"/>
  <c r="V2318" i="5"/>
  <c r="E2318" i="5"/>
  <c r="X2318" i="5" s="1"/>
  <c r="V2319" i="5"/>
  <c r="E2319" i="5"/>
  <c r="X2319" i="5" s="1"/>
  <c r="V2320" i="5"/>
  <c r="E2320" i="5"/>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V2339" i="5"/>
  <c r="E2339" i="5"/>
  <c r="X2339" i="5" s="1"/>
  <c r="V2340" i="5"/>
  <c r="E2340" i="5"/>
  <c r="X2340" i="5" s="1"/>
  <c r="V2341" i="5"/>
  <c r="E2341" i="5"/>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V2372" i="5"/>
  <c r="E2372" i="5"/>
  <c r="X2372" i="5" s="1"/>
  <c r="V2373" i="5"/>
  <c r="E2373" i="5"/>
  <c r="X2373" i="5" s="1"/>
  <c r="V2374" i="5"/>
  <c r="E2374" i="5"/>
  <c r="V2375" i="5"/>
  <c r="E2375" i="5"/>
  <c r="X2375" i="5" s="1"/>
  <c r="V2376" i="5"/>
  <c r="E2376" i="5"/>
  <c r="X2376" i="5" s="1"/>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X2384" i="5" s="1"/>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X2396" i="5" s="1"/>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V2483" i="5"/>
  <c r="E2483" i="5"/>
  <c r="X2483" i="5" s="1"/>
  <c r="V2484" i="5"/>
  <c r="E2484" i="5"/>
  <c r="X2484" i="5" s="1"/>
  <c r="V2485" i="5"/>
  <c r="E2485" i="5"/>
  <c r="V2486" i="5"/>
  <c r="E2486" i="5"/>
  <c r="X2486" i="5" s="1"/>
  <c r="V2487" i="5"/>
  <c r="E2487" i="5"/>
  <c r="X2487" i="5" s="1"/>
  <c r="V2488" i="5"/>
  <c r="E2488" i="5"/>
  <c r="V2489" i="5"/>
  <c r="E2489" i="5"/>
  <c r="X2489" i="5" s="1"/>
  <c r="V2490" i="5"/>
  <c r="E2490" i="5"/>
  <c r="X2490" i="5" s="1"/>
  <c r="V2491" i="5"/>
  <c r="E2491" i="5"/>
  <c r="X2491" i="5" s="1"/>
  <c r="V2492" i="5"/>
  <c r="E2492" i="5"/>
  <c r="X2492" i="5" s="1"/>
  <c r="V2493" i="5"/>
  <c r="E2493" i="5"/>
  <c r="X2493" i="5" s="1"/>
  <c r="V2494" i="5"/>
  <c r="E2494" i="5"/>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c r="G13" i="6"/>
  <c r="H13" i="6"/>
  <c r="G5" i="6"/>
  <c r="H5" i="6"/>
  <c r="F6" i="6"/>
  <c r="G6" i="6"/>
  <c r="H6" i="6"/>
  <c r="G11" i="6"/>
  <c r="H11" i="6"/>
  <c r="G12" i="6"/>
  <c r="H12" i="6"/>
  <c r="H14" i="6"/>
  <c r="G15" i="6"/>
  <c r="H15" i="6"/>
  <c r="H16" i="6"/>
  <c r="I4" i="6"/>
  <c r="I5" i="6"/>
  <c r="J5" i="6"/>
  <c r="C5" i="6" s="1"/>
  <c r="I6" i="6"/>
  <c r="J6" i="6"/>
  <c r="I9" i="6"/>
  <c r="J9" i="6"/>
  <c r="C9" i="6" s="1"/>
  <c r="I10" i="6"/>
  <c r="J10" i="6"/>
  <c r="C10" i="6" s="1"/>
  <c r="I11" i="6"/>
  <c r="J11" i="6"/>
  <c r="C11" i="6" s="1"/>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2" i="5"/>
  <c r="X34" i="5"/>
  <c r="X40" i="5"/>
  <c r="X46" i="5"/>
  <c r="X58" i="5"/>
  <c r="X64" i="5"/>
  <c r="X70" i="5"/>
  <c r="X73" i="5"/>
  <c r="X82" i="5"/>
  <c r="X88" i="5"/>
  <c r="X94" i="5"/>
  <c r="X100" i="5"/>
  <c r="X112" i="5"/>
  <c r="X118" i="5"/>
  <c r="X124" i="5"/>
  <c r="X130" i="5"/>
  <c r="X136" i="5"/>
  <c r="X148" i="5"/>
  <c r="X160" i="5"/>
  <c r="X166" i="5"/>
  <c r="X178" i="5"/>
  <c r="X184" i="5"/>
  <c r="X190" i="5"/>
  <c r="X196" i="5"/>
  <c r="X202" i="5"/>
  <c r="X208" i="5"/>
  <c r="X226" i="5"/>
  <c r="X232" i="5"/>
  <c r="X234" i="5"/>
  <c r="X238" i="5"/>
  <c r="X256" i="5"/>
  <c r="X262" i="5"/>
  <c r="X265" i="5"/>
  <c r="X268" i="5"/>
  <c r="X274" i="5"/>
  <c r="X280" i="5"/>
  <c r="X282" i="5"/>
  <c r="X292" i="5"/>
  <c r="X295" i="5"/>
  <c r="X304" i="5"/>
  <c r="X310" i="5"/>
  <c r="X319" i="5"/>
  <c r="X322" i="5"/>
  <c r="X328" i="5"/>
  <c r="X334" i="5"/>
  <c r="X340" i="5"/>
  <c r="X346" i="5"/>
  <c r="X352" i="5"/>
  <c r="X370" i="5"/>
  <c r="X373" i="5"/>
  <c r="X376" i="5"/>
  <c r="X382" i="5"/>
  <c r="X400" i="5"/>
  <c r="X403" i="5"/>
  <c r="X406" i="5"/>
  <c r="X412" i="5"/>
  <c r="X418" i="5"/>
  <c r="X424" i="5"/>
  <c r="X436" i="5"/>
  <c r="X442" i="5"/>
  <c r="X451" i="5"/>
  <c r="X454" i="5"/>
  <c r="X460" i="5"/>
  <c r="X464" i="5"/>
  <c r="X466" i="5"/>
  <c r="X469" i="5"/>
  <c r="X472" i="5"/>
  <c r="X496" i="5"/>
  <c r="X502" i="5"/>
  <c r="X526" i="5"/>
  <c r="X529" i="5"/>
  <c r="X532" i="5"/>
  <c r="X538" i="5"/>
  <c r="X544" i="5"/>
  <c r="X556" i="5"/>
  <c r="X568" i="5"/>
  <c r="X574" i="5"/>
  <c r="X586" i="5"/>
  <c r="X598" i="5"/>
  <c r="X604" i="5"/>
  <c r="X607" i="5"/>
  <c r="X610" i="5"/>
  <c r="X628" i="5"/>
  <c r="X637" i="5"/>
  <c r="X640" i="5"/>
  <c r="X646" i="5"/>
  <c r="X652" i="5"/>
  <c r="X658" i="5"/>
  <c r="X670" i="5"/>
  <c r="X676" i="5"/>
  <c r="X688" i="5"/>
  <c r="X691" i="5"/>
  <c r="X694" i="5"/>
  <c r="X706" i="5"/>
  <c r="X712" i="5"/>
  <c r="X718" i="5"/>
  <c r="X721" i="5"/>
  <c r="X724" i="5"/>
  <c r="X730" i="5"/>
  <c r="X742" i="5"/>
  <c r="X745" i="5"/>
  <c r="X748" i="5"/>
  <c r="X760" i="5"/>
  <c r="X766" i="5"/>
  <c r="X778" i="5"/>
  <c r="X784" i="5"/>
  <c r="X790" i="5"/>
  <c r="X796" i="5"/>
  <c r="X805" i="5"/>
  <c r="X808" i="5"/>
  <c r="X826" i="5"/>
  <c r="X832" i="5"/>
  <c r="X835" i="5"/>
  <c r="X838" i="5"/>
  <c r="X850" i="5"/>
  <c r="X862" i="5"/>
  <c r="X865" i="5"/>
  <c r="X868" i="5"/>
  <c r="X880" i="5"/>
  <c r="X892" i="5"/>
  <c r="X898" i="5"/>
  <c r="X904" i="5"/>
  <c r="X910" i="5"/>
  <c r="X919" i="5"/>
  <c r="X928" i="5"/>
  <c r="X934" i="5"/>
  <c r="X943" i="5"/>
  <c r="X952" i="5"/>
  <c r="X958" i="5"/>
  <c r="X964" i="5"/>
  <c r="X970" i="5"/>
  <c r="X973" i="5"/>
  <c r="X976" i="5"/>
  <c r="X994" i="5"/>
  <c r="X997" i="5"/>
  <c r="X1006" i="5"/>
  <c r="X1018" i="5"/>
  <c r="X1034" i="5"/>
  <c r="X1042" i="5"/>
  <c r="X1051" i="5"/>
  <c r="X1066" i="5"/>
  <c r="X1078" i="5"/>
  <c r="X1102" i="5"/>
  <c r="X1114" i="5"/>
  <c r="X1126" i="5"/>
  <c r="X1138" i="5"/>
  <c r="X1162" i="5"/>
  <c r="X1177" i="5"/>
  <c r="X1186" i="5"/>
  <c r="X1207" i="5"/>
  <c r="X1210" i="5"/>
  <c r="X1234" i="5"/>
  <c r="X1246" i="5"/>
  <c r="X1258" i="5"/>
  <c r="X1270" i="5"/>
  <c r="X1282" i="5"/>
  <c r="X1285" i="5"/>
  <c r="X1306" i="5"/>
  <c r="X1315" i="5"/>
  <c r="X1330" i="5"/>
  <c r="X1345" i="5"/>
  <c r="X1354" i="5"/>
  <c r="X1366" i="5"/>
  <c r="X1378" i="5"/>
  <c r="X1390" i="5"/>
  <c r="X1402" i="5"/>
  <c r="X1414" i="5"/>
  <c r="X1426" i="5"/>
  <c r="X1441" i="5"/>
  <c r="X1450" i="5"/>
  <c r="X1471" i="5"/>
  <c r="X1474" i="5"/>
  <c r="X1498" i="5"/>
  <c r="X1510" i="5"/>
  <c r="X1522" i="5"/>
  <c r="X1528" i="5"/>
  <c r="X1534" i="5"/>
  <c r="X1540" i="5"/>
  <c r="X1543" i="5"/>
  <c r="X1552" i="5"/>
  <c r="X1564" i="5"/>
  <c r="X1570" i="5"/>
  <c r="X1576" i="5"/>
  <c r="X1582" i="5"/>
  <c r="X1585" i="5"/>
  <c r="X1588" i="5"/>
  <c r="X1594" i="5"/>
  <c r="X1606" i="5"/>
  <c r="X1618" i="5"/>
  <c r="X1624" i="5"/>
  <c r="X1630" i="5"/>
  <c r="X1636" i="5"/>
  <c r="X1639" i="5"/>
  <c r="X1642" i="5"/>
  <c r="X1648" i="5"/>
  <c r="X1657" i="5"/>
  <c r="X1666" i="5"/>
  <c r="X1672" i="5"/>
  <c r="X1678" i="5"/>
  <c r="X1684" i="5"/>
  <c r="X1690" i="5"/>
  <c r="X1696" i="5"/>
  <c r="X1702" i="5"/>
  <c r="X1708" i="5"/>
  <c r="X1714" i="5"/>
  <c r="X1726" i="5"/>
  <c r="X1729" i="5"/>
  <c r="X1732" i="5"/>
  <c r="X1738" i="5"/>
  <c r="X1744" i="5"/>
  <c r="X1750" i="5"/>
  <c r="X1756" i="5"/>
  <c r="X1762" i="5"/>
  <c r="X1771" i="5"/>
  <c r="X1780" i="5"/>
  <c r="X1786" i="5"/>
  <c r="X1787" i="5"/>
  <c r="X1792" i="5"/>
  <c r="X1798" i="5"/>
  <c r="X1804" i="5"/>
  <c r="X1810" i="5"/>
  <c r="X1816" i="5"/>
  <c r="X1828" i="5"/>
  <c r="X1840" i="5"/>
  <c r="X1846" i="5"/>
  <c r="X1852" i="5"/>
  <c r="X1858" i="5"/>
  <c r="X1864" i="5"/>
  <c r="X1870" i="5"/>
  <c r="X1876" i="5"/>
  <c r="X1882" i="5"/>
  <c r="X1894" i="5"/>
  <c r="X1900" i="5"/>
  <c r="X1906" i="5"/>
  <c r="X1912" i="5"/>
  <c r="X1918" i="5"/>
  <c r="X1924" i="5"/>
  <c r="X1930" i="5"/>
  <c r="X1942" i="5"/>
  <c r="X1954" i="5"/>
  <c r="X1960" i="5"/>
  <c r="X1966" i="5"/>
  <c r="X1972" i="5"/>
  <c r="X1978" i="5"/>
  <c r="X1984" i="5"/>
  <c r="X1990" i="5"/>
  <c r="X1996" i="5"/>
  <c r="X2008" i="5"/>
  <c r="X2020" i="5"/>
  <c r="X2026" i="5"/>
  <c r="X2032" i="5"/>
  <c r="X2035" i="5"/>
  <c r="X2038" i="5"/>
  <c r="X2044" i="5"/>
  <c r="X2050" i="5"/>
  <c r="X2056" i="5"/>
  <c r="X2062" i="5"/>
  <c r="X2071" i="5"/>
  <c r="X2080" i="5"/>
  <c r="X2086" i="5"/>
  <c r="X2092" i="5"/>
  <c r="X2098" i="5"/>
  <c r="X2104" i="5"/>
  <c r="X2110" i="5"/>
  <c r="X2116" i="5"/>
  <c r="X2122" i="5"/>
  <c r="X2125" i="5"/>
  <c r="X2128" i="5"/>
  <c r="X2140" i="5"/>
  <c r="X2146" i="5"/>
  <c r="X2152" i="5"/>
  <c r="X2155" i="5"/>
  <c r="X2158" i="5"/>
  <c r="X2164" i="5"/>
  <c r="X2170" i="5"/>
  <c r="X2176" i="5"/>
  <c r="X2182" i="5"/>
  <c r="X2185" i="5"/>
  <c r="X2188" i="5"/>
  <c r="X2194" i="5"/>
  <c r="X2200" i="5"/>
  <c r="X2206" i="5"/>
  <c r="X2212" i="5"/>
  <c r="X2218" i="5"/>
  <c r="X2224" i="5"/>
  <c r="X2230" i="5"/>
  <c r="X2236" i="5"/>
  <c r="X2248" i="5"/>
  <c r="X2260" i="5"/>
  <c r="X2263" i="5"/>
  <c r="X2266" i="5"/>
  <c r="X2272" i="5"/>
  <c r="X2278" i="5"/>
  <c r="X2284" i="5"/>
  <c r="X2290" i="5"/>
  <c r="X2293" i="5"/>
  <c r="X2296" i="5"/>
  <c r="X2308" i="5"/>
  <c r="X2314" i="5"/>
  <c r="X2320" i="5"/>
  <c r="X2326" i="5"/>
  <c r="X2332" i="5"/>
  <c r="X2338" i="5"/>
  <c r="X2341" i="5"/>
  <c r="X2344" i="5"/>
  <c r="X2356" i="5"/>
  <c r="X2368" i="5"/>
  <c r="X2371" i="5"/>
  <c r="X2374" i="5"/>
  <c r="X2380" i="5"/>
  <c r="X2386" i="5"/>
  <c r="X2392" i="5"/>
  <c r="X2398" i="5"/>
  <c r="X2404" i="5"/>
  <c r="X2413" i="5"/>
  <c r="X2422" i="5"/>
  <c r="X2428" i="5"/>
  <c r="X2434" i="5"/>
  <c r="X2440" i="5"/>
  <c r="X2443" i="5"/>
  <c r="X2446" i="5"/>
  <c r="X2452" i="5"/>
  <c r="X2458" i="5"/>
  <c r="X2470" i="5"/>
  <c r="X2482" i="5"/>
  <c r="X2485" i="5"/>
  <c r="X2488" i="5"/>
  <c r="X249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C15" i="6"/>
  <c r="C112" i="6"/>
  <c r="B3" i="6"/>
  <c r="A4" i="8"/>
  <c r="B29" i="3"/>
  <c r="B4" i="8"/>
  <c r="C12" i="6"/>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T47" i="4" s="1"/>
  <c r="S49" i="4"/>
  <c r="S48" i="4"/>
  <c r="S50" i="4"/>
  <c r="S51" i="4"/>
  <c r="T51" i="4" s="1"/>
  <c r="U51" i="4" s="1"/>
  <c r="V51" i="4" s="1"/>
  <c r="W51" i="4" s="1"/>
  <c r="R17" i="4" l="1"/>
  <c r="S17" i="4" s="1"/>
  <c r="Q16" i="4"/>
  <c r="R16" i="4" s="1"/>
  <c r="R18" i="4"/>
  <c r="S18" i="4" s="1"/>
  <c r="T44" i="4"/>
  <c r="T45" i="4"/>
  <c r="S19" i="4"/>
  <c r="T19" i="4" s="1"/>
  <c r="U19" i="4" s="1"/>
  <c r="V19" i="4" s="1"/>
  <c r="W19" i="4" s="1"/>
  <c r="V20" i="4"/>
  <c r="W20" i="4" s="1"/>
  <c r="X20" i="4" s="1"/>
  <c r="Y20" i="4" s="1"/>
  <c r="Z20" i="4" s="1"/>
  <c r="T50" i="4"/>
  <c r="U50" i="4" s="1"/>
  <c r="V50" i="4" s="1"/>
  <c r="T48" i="4"/>
  <c r="U48" i="4" s="1"/>
  <c r="Y21" i="4"/>
  <c r="Z21" i="4" s="1"/>
  <c r="T46" i="4"/>
  <c r="U43" i="4"/>
  <c r="U44" i="4"/>
  <c r="X51" i="4"/>
  <c r="Y51" i="4" s="1"/>
  <c r="Q13" i="4"/>
  <c r="T42" i="4"/>
  <c r="U42" i="4" s="1"/>
  <c r="T49" i="4"/>
  <c r="D41" i="4"/>
  <c r="D65" i="4"/>
  <c r="A75" i="2"/>
  <c r="A74" i="2"/>
  <c r="A73" i="2"/>
  <c r="A72" i="2"/>
  <c r="A71" i="2"/>
  <c r="A70" i="2"/>
  <c r="A69" i="2"/>
  <c r="G77" i="4"/>
  <c r="G89" i="4"/>
  <c r="G41" i="4"/>
  <c r="G65" i="4"/>
  <c r="G124" i="6" a="1"/>
  <c r="G124" i="6" s="1"/>
  <c r="D114" i="4"/>
  <c r="D53" i="4"/>
  <c r="D77" i="4"/>
  <c r="G101" i="4"/>
  <c r="G53" i="4"/>
  <c r="G114" i="4"/>
  <c r="F124" i="6"/>
  <c r="D89" i="4"/>
  <c r="S16" i="4" l="1"/>
  <c r="R15" i="4"/>
  <c r="T17" i="4"/>
  <c r="T18" i="4"/>
  <c r="U18" i="4"/>
  <c r="V18" i="4" s="1"/>
  <c r="W18" i="4" s="1"/>
  <c r="X18" i="4" s="1"/>
  <c r="Y18" i="4" s="1"/>
  <c r="Z18" i="4" s="1"/>
  <c r="X19" i="4"/>
  <c r="U49" i="4"/>
  <c r="V48" i="4" s="1"/>
  <c r="U47" i="4"/>
  <c r="V47" i="4" s="1"/>
  <c r="U46" i="4"/>
  <c r="V46" i="4" s="1"/>
  <c r="U45" i="4"/>
  <c r="V45" i="4" s="1"/>
  <c r="Y19" i="4"/>
  <c r="Z19" i="4" s="1"/>
  <c r="R13" i="4"/>
  <c r="R14" i="4"/>
  <c r="Z51" i="4"/>
  <c r="AA51" i="4" s="1"/>
  <c r="V43" i="4"/>
  <c r="V42" i="4"/>
  <c r="W42" i="4" s="1"/>
  <c r="W50" i="4"/>
  <c r="X50" i="4" s="1"/>
  <c r="H124" i="6"/>
  <c r="C124" i="6"/>
  <c r="V49" i="4" l="1"/>
  <c r="W49" i="4" s="1"/>
  <c r="V44" i="4"/>
  <c r="W46" i="4"/>
  <c r="W45" i="4"/>
  <c r="X45" i="4" s="1"/>
  <c r="X48" i="4"/>
  <c r="X49" i="4"/>
  <c r="Y49" i="4" s="1"/>
  <c r="Y50" i="4"/>
  <c r="Z50" i="4" s="1"/>
  <c r="AB51" i="4"/>
  <c r="AC51" i="4" s="1"/>
  <c r="S14" i="4"/>
  <c r="S15" i="4"/>
  <c r="S13" i="4"/>
  <c r="S12" i="4"/>
  <c r="T12" i="4" s="1"/>
  <c r="W47" i="4"/>
  <c r="W48" i="4"/>
  <c r="D124" i="6"/>
  <c r="W43" i="4" l="1"/>
  <c r="W44" i="4"/>
  <c r="X44" i="4" s="1"/>
  <c r="Z49" i="4"/>
  <c r="AA49" i="4" s="1"/>
  <c r="X47" i="4"/>
  <c r="Y47" i="4" s="1"/>
  <c r="X46" i="4"/>
  <c r="AA50" i="4"/>
  <c r="AB50" i="4" s="1"/>
  <c r="Y48" i="4"/>
  <c r="Z48" i="4" s="1"/>
  <c r="T15" i="4"/>
  <c r="T16" i="4"/>
  <c r="T14" i="4"/>
  <c r="T13" i="4"/>
  <c r="X42" i="4" l="1"/>
  <c r="Y42" i="4" s="1"/>
  <c r="X43" i="4"/>
  <c r="Y43" i="4" s="1"/>
  <c r="Y44" i="4"/>
  <c r="AB49" i="4"/>
  <c r="AC49" i="4" s="1"/>
  <c r="Z47" i="4"/>
  <c r="AA47" i="4" s="1"/>
  <c r="AA48" i="4"/>
  <c r="AB48" i="4" s="1"/>
  <c r="U13" i="4"/>
  <c r="U12" i="4"/>
  <c r="V12" i="4" s="1"/>
  <c r="U17" i="4"/>
  <c r="V17" i="4" s="1"/>
  <c r="U16" i="4"/>
  <c r="U15" i="4"/>
  <c r="U14" i="4"/>
  <c r="AC50" i="4"/>
  <c r="Y45" i="4"/>
  <c r="Y46" i="4"/>
  <c r="Z46" i="4" s="1"/>
  <c r="Z43" i="4" l="1"/>
  <c r="Z42" i="4"/>
  <c r="AA42" i="4" s="1"/>
  <c r="AA46" i="4"/>
  <c r="AB46" i="4" s="1"/>
  <c r="V14" i="4"/>
  <c r="V13" i="4"/>
  <c r="V15" i="4"/>
  <c r="V16" i="4"/>
  <c r="W16" i="4" s="1"/>
  <c r="W17" i="4"/>
  <c r="X17" i="4" s="1"/>
  <c r="AB47" i="4"/>
  <c r="AC47" i="4" s="1"/>
  <c r="Z44" i="4"/>
  <c r="Z45" i="4"/>
  <c r="AA45" i="4" s="1"/>
  <c r="AC48" i="4"/>
  <c r="AB45" i="4" l="1"/>
  <c r="AC45" i="4" s="1"/>
  <c r="AA43" i="4"/>
  <c r="AA44" i="4"/>
  <c r="AB44" i="4" s="1"/>
  <c r="AC46" i="4"/>
  <c r="Y17" i="4"/>
  <c r="Z17" i="4" s="1"/>
  <c r="W14" i="4"/>
  <c r="W15" i="4"/>
  <c r="X16" i="4" s="1"/>
  <c r="Y16" i="4" s="1"/>
  <c r="W13" i="4"/>
  <c r="W12" i="4"/>
  <c r="X12" i="4" s="1"/>
  <c r="AC44" i="4" l="1"/>
  <c r="X14" i="4"/>
  <c r="X13" i="4"/>
  <c r="X15" i="4"/>
  <c r="AB43" i="4"/>
  <c r="AC43" i="4" s="1"/>
  <c r="AB42" i="4"/>
  <c r="AC42" i="4" s="1"/>
  <c r="Y13" i="4" l="1"/>
  <c r="Y12" i="4"/>
  <c r="Z12" i="4" s="1"/>
  <c r="Y14" i="4"/>
  <c r="Y15" i="4"/>
  <c r="Z15" i="4" l="1"/>
  <c r="Z16" i="4"/>
  <c r="Z13" i="4"/>
  <c r="AA13" i="4" s="1" a="1"/>
  <c r="AA13" i="4" s="1"/>
  <c r="AA14" i="4" s="1" a="1"/>
  <c r="AA14" i="4" s="1"/>
  <c r="Z14" i="4"/>
  <c r="AA12" i="4"/>
  <c r="A116" i="6" l="1"/>
  <c r="G116" i="6" s="1"/>
  <c r="B32" i="4"/>
  <c r="AA15" i="4" a="1"/>
  <c r="AA15" i="4" s="1"/>
  <c r="B30" i="4"/>
  <c r="A114" i="6"/>
  <c r="G114" i="6" s="1"/>
  <c r="B31" i="4"/>
  <c r="A115" i="6"/>
  <c r="G115" i="6" s="1"/>
  <c r="A117" i="6" l="1"/>
  <c r="G117" i="6" s="1"/>
  <c r="B33" i="4"/>
  <c r="O30" i="4"/>
  <c r="A17" i="6"/>
  <c r="M30" i="4"/>
  <c r="G7" i="6"/>
  <c r="H7" i="6" s="1"/>
  <c r="AA16" i="4" a="1"/>
  <c r="AA16" i="4" s="1"/>
  <c r="AA17" i="4" s="1" a="1"/>
  <c r="AA17" i="4" s="1"/>
  <c r="A19" i="6"/>
  <c r="M32" i="4"/>
  <c r="O32" i="4"/>
  <c r="M31" i="4"/>
  <c r="A18" i="6"/>
  <c r="O31" i="4"/>
  <c r="B35" i="4" l="1"/>
  <c r="A119" i="6"/>
  <c r="G119" i="6" s="1"/>
  <c r="M33" i="4"/>
  <c r="O33" i="4"/>
  <c r="A20" i="6"/>
  <c r="P54" i="4"/>
  <c r="P42" i="4"/>
  <c r="B42" i="4" s="1"/>
  <c r="F40" i="6"/>
  <c r="F29" i="6"/>
  <c r="H29" i="6" s="1"/>
  <c r="F18" i="6"/>
  <c r="H18" i="6" s="1"/>
  <c r="F41" i="6"/>
  <c r="F30" i="6"/>
  <c r="H30" i="6" s="1"/>
  <c r="F19" i="6"/>
  <c r="H19" i="6" s="1"/>
  <c r="P55" i="4"/>
  <c r="P43" i="4"/>
  <c r="B43" i="4" s="1"/>
  <c r="P56" i="4"/>
  <c r="P44" i="4"/>
  <c r="B44" i="4" s="1"/>
  <c r="D7" i="6"/>
  <c r="C7" i="6"/>
  <c r="B34" i="4"/>
  <c r="A118" i="6"/>
  <c r="G118" i="6" s="1"/>
  <c r="F39" i="6"/>
  <c r="F28" i="6"/>
  <c r="H28" i="6" s="1"/>
  <c r="F17" i="6"/>
  <c r="H17" i="6" s="1"/>
  <c r="AA18" i="4" a="1"/>
  <c r="AA18" i="4" s="1"/>
  <c r="F98" i="6" l="1"/>
  <c r="H98" i="6" s="1"/>
  <c r="F114" i="6"/>
  <c r="F50" i="6"/>
  <c r="H39" i="6"/>
  <c r="F42" i="6"/>
  <c r="F20" i="6"/>
  <c r="H20" i="6" s="1"/>
  <c r="F31" i="6"/>
  <c r="H31" i="6" s="1"/>
  <c r="M43" i="4"/>
  <c r="A29" i="6"/>
  <c r="B121" i="4"/>
  <c r="B91" i="4"/>
  <c r="B55" i="4"/>
  <c r="B79" i="4"/>
  <c r="B67" i="4"/>
  <c r="B103" i="4"/>
  <c r="P57" i="4"/>
  <c r="P45" i="4"/>
  <c r="B45" i="4" s="1"/>
  <c r="D19" i="6"/>
  <c r="C19" i="6"/>
  <c r="C30" i="6"/>
  <c r="D30" i="6"/>
  <c r="K116" i="6"/>
  <c r="H41" i="6"/>
  <c r="F116" i="6"/>
  <c r="H116" i="6" s="1"/>
  <c r="F52" i="6"/>
  <c r="F100" i="6"/>
  <c r="H100" i="6" s="1"/>
  <c r="AA19" i="4" a="1"/>
  <c r="AA19" i="4" s="1"/>
  <c r="D18" i="6"/>
  <c r="C18" i="6"/>
  <c r="K115" i="6"/>
  <c r="D29" i="6"/>
  <c r="C29" i="6"/>
  <c r="A120" i="6"/>
  <c r="B36" i="4"/>
  <c r="M34" i="4"/>
  <c r="A21" i="6"/>
  <c r="O34" i="4"/>
  <c r="D17" i="6"/>
  <c r="C17" i="6"/>
  <c r="D28" i="6"/>
  <c r="K114" i="6"/>
  <c r="C28" i="6"/>
  <c r="F115" i="6"/>
  <c r="H115" i="6" s="1"/>
  <c r="F99" i="6"/>
  <c r="H99" i="6" s="1"/>
  <c r="H40" i="6"/>
  <c r="F51" i="6"/>
  <c r="M44" i="4"/>
  <c r="A30" i="6"/>
  <c r="A28" i="6"/>
  <c r="M42" i="4"/>
  <c r="B104" i="4"/>
  <c r="B68" i="4"/>
  <c r="B80" i="4"/>
  <c r="B92" i="4"/>
  <c r="B122" i="4"/>
  <c r="B56" i="4"/>
  <c r="B66" i="4"/>
  <c r="B54" i="4"/>
  <c r="B102" i="4"/>
  <c r="B120" i="4"/>
  <c r="B90" i="4"/>
  <c r="B78" i="4"/>
  <c r="A22" i="6"/>
  <c r="M35" i="4"/>
  <c r="O35" i="4"/>
  <c r="P46" i="4" l="1"/>
  <c r="B46" i="4" s="1"/>
  <c r="P58" i="4"/>
  <c r="M121" i="4"/>
  <c r="A99" i="6"/>
  <c r="M102" i="4"/>
  <c r="A83" i="6"/>
  <c r="F21" i="6"/>
  <c r="H21" i="6" s="1"/>
  <c r="F32" i="6"/>
  <c r="H32" i="6" s="1"/>
  <c r="F43" i="6"/>
  <c r="A50" i="6"/>
  <c r="M66" i="4"/>
  <c r="F62" i="6"/>
  <c r="H51" i="6"/>
  <c r="D31" i="6"/>
  <c r="K117" i="6"/>
  <c r="C31" i="6"/>
  <c r="M56" i="4"/>
  <c r="A41" i="6"/>
  <c r="C40" i="6"/>
  <c r="D40" i="6"/>
  <c r="D20" i="6"/>
  <c r="C20" i="6"/>
  <c r="M122" i="4"/>
  <c r="A100" i="6"/>
  <c r="D99" i="6"/>
  <c r="C99" i="6"/>
  <c r="A31" i="6"/>
  <c r="M45" i="4"/>
  <c r="H42" i="6"/>
  <c r="F101" i="6"/>
  <c r="H101" i="6" s="1"/>
  <c r="F117" i="6"/>
  <c r="H117" i="6" s="1"/>
  <c r="F53" i="6"/>
  <c r="B93" i="4"/>
  <c r="B69" i="4"/>
  <c r="B81" i="4"/>
  <c r="B57" i="4"/>
  <c r="B123" i="4"/>
  <c r="B105" i="4"/>
  <c r="B37" i="4"/>
  <c r="A121" i="6"/>
  <c r="M103" i="4"/>
  <c r="A84" i="6"/>
  <c r="C39" i="6"/>
  <c r="D39" i="6"/>
  <c r="M120" i="4"/>
  <c r="A98" i="6"/>
  <c r="D115" i="6"/>
  <c r="C115" i="6"/>
  <c r="P59" i="4"/>
  <c r="P47" i="4"/>
  <c r="B47" i="4" s="1"/>
  <c r="M80" i="4"/>
  <c r="A63" i="6"/>
  <c r="A52" i="6"/>
  <c r="M68" i="4"/>
  <c r="D100" i="6"/>
  <c r="C100" i="6"/>
  <c r="A51" i="6"/>
  <c r="M67" i="4"/>
  <c r="H50" i="6"/>
  <c r="F61" i="6"/>
  <c r="M92" i="4"/>
  <c r="A74" i="6"/>
  <c r="F33" i="6"/>
  <c r="H33" i="6" s="1"/>
  <c r="F22" i="6"/>
  <c r="H22" i="6" s="1"/>
  <c r="F44" i="6"/>
  <c r="A85" i="6"/>
  <c r="M104" i="4"/>
  <c r="H52" i="6"/>
  <c r="F63" i="6"/>
  <c r="A62" i="6"/>
  <c r="M79" i="4"/>
  <c r="H114" i="6"/>
  <c r="B2" i="6"/>
  <c r="A39" i="6"/>
  <c r="M54" i="4"/>
  <c r="O36" i="4"/>
  <c r="A23" i="6"/>
  <c r="M36" i="4"/>
  <c r="M78" i="4"/>
  <c r="A61" i="6"/>
  <c r="D116" i="6"/>
  <c r="C116" i="6"/>
  <c r="A40" i="6"/>
  <c r="M55" i="4"/>
  <c r="C98" i="6"/>
  <c r="D98" i="6"/>
  <c r="M90" i="4"/>
  <c r="A72" i="6"/>
  <c r="D41" i="6"/>
  <c r="C41" i="6"/>
  <c r="A73" i="6"/>
  <c r="M91" i="4"/>
  <c r="AA20" i="4" a="1"/>
  <c r="AA20" i="4" s="1"/>
  <c r="D33" i="6" l="1"/>
  <c r="K119" i="6"/>
  <c r="C33" i="6"/>
  <c r="M81" i="4"/>
  <c r="A64" i="6"/>
  <c r="M47" i="4"/>
  <c r="A33" i="6"/>
  <c r="M69" i="4"/>
  <c r="A53" i="6"/>
  <c r="A75" i="6"/>
  <c r="M93" i="4"/>
  <c r="F102" i="6"/>
  <c r="H102" i="6" s="1"/>
  <c r="F118" i="6"/>
  <c r="H118" i="6" s="1"/>
  <c r="H43" i="6"/>
  <c r="F54" i="6"/>
  <c r="C114" i="6"/>
  <c r="D114" i="6"/>
  <c r="H61" i="6"/>
  <c r="F72" i="6"/>
  <c r="H53" i="6"/>
  <c r="F64" i="6"/>
  <c r="K118" i="6"/>
  <c r="D32" i="6"/>
  <c r="C32" i="6"/>
  <c r="M37" i="4"/>
  <c r="A24" i="6"/>
  <c r="O37" i="4"/>
  <c r="D117" i="6"/>
  <c r="C117" i="6"/>
  <c r="C21" i="6"/>
  <c r="D21" i="6"/>
  <c r="D50" i="6"/>
  <c r="C50" i="6"/>
  <c r="D101" i="6"/>
  <c r="C101" i="6"/>
  <c r="D42" i="6"/>
  <c r="C42" i="6"/>
  <c r="B38" i="4"/>
  <c r="A122" i="6"/>
  <c r="AA21" i="4" a="1"/>
  <c r="AA21" i="4" s="1"/>
  <c r="F94" i="6"/>
  <c r="B95" i="4"/>
  <c r="B125" i="4"/>
  <c r="B107" i="4"/>
  <c r="B71" i="4"/>
  <c r="B59" i="4"/>
  <c r="B83" i="4"/>
  <c r="F74" i="6"/>
  <c r="H63" i="6"/>
  <c r="M105" i="4"/>
  <c r="A86" i="6"/>
  <c r="B82" i="4"/>
  <c r="B94" i="4"/>
  <c r="B70" i="4"/>
  <c r="B58" i="4"/>
  <c r="B124" i="4"/>
  <c r="B106" i="4"/>
  <c r="M123" i="4"/>
  <c r="A101" i="6"/>
  <c r="D51" i="6"/>
  <c r="C51" i="6"/>
  <c r="M46" i="4"/>
  <c r="A32" i="6"/>
  <c r="D52" i="6"/>
  <c r="C52" i="6"/>
  <c r="F119" i="6"/>
  <c r="H119" i="6" s="1"/>
  <c r="F103" i="6"/>
  <c r="H103" i="6" s="1"/>
  <c r="H44" i="6"/>
  <c r="F55" i="6"/>
  <c r="P60" i="4"/>
  <c r="P48" i="4"/>
  <c r="B48" i="4" s="1"/>
  <c r="C22" i="6"/>
  <c r="D22" i="6"/>
  <c r="A42" i="6"/>
  <c r="M57" i="4"/>
  <c r="F73" i="6"/>
  <c r="H62" i="6"/>
  <c r="B39" i="4" l="1"/>
  <c r="A123" i="6"/>
  <c r="AA22" i="4"/>
  <c r="AA23" i="4" s="1"/>
  <c r="C102" i="6"/>
  <c r="D102" i="6"/>
  <c r="H73" i="6"/>
  <c r="F84" i="6"/>
  <c r="H84" i="6" s="1"/>
  <c r="H64" i="6"/>
  <c r="F75" i="6"/>
  <c r="D53" i="6"/>
  <c r="C53" i="6"/>
  <c r="A66" i="6"/>
  <c r="M83" i="4"/>
  <c r="H72" i="6"/>
  <c r="F83" i="6"/>
  <c r="H83" i="6" s="1"/>
  <c r="D61" i="6"/>
  <c r="C61" i="6"/>
  <c r="A65" i="6"/>
  <c r="M82" i="4"/>
  <c r="C63" i="6"/>
  <c r="D63" i="6"/>
  <c r="B126" i="4"/>
  <c r="B96" i="4"/>
  <c r="B72" i="4"/>
  <c r="B108" i="4"/>
  <c r="B60" i="4"/>
  <c r="B84" i="4"/>
  <c r="H55" i="6"/>
  <c r="F66" i="6"/>
  <c r="A44" i="6"/>
  <c r="M59" i="4"/>
  <c r="A102" i="6"/>
  <c r="M124" i="4"/>
  <c r="A87" i="6"/>
  <c r="M106" i="4"/>
  <c r="A43" i="6"/>
  <c r="M58" i="4"/>
  <c r="P49" i="4"/>
  <c r="B49" i="4" s="1"/>
  <c r="P61" i="4"/>
  <c r="F65" i="6"/>
  <c r="H54" i="6"/>
  <c r="A103" i="6"/>
  <c r="M125" i="4"/>
  <c r="C119" i="6"/>
  <c r="D119" i="6"/>
  <c r="C43" i="6"/>
  <c r="D43" i="6"/>
  <c r="F85" i="6"/>
  <c r="H85" i="6" s="1"/>
  <c r="H74" i="6"/>
  <c r="M48" i="4"/>
  <c r="A34" i="6"/>
  <c r="A55" i="6"/>
  <c r="M71" i="4"/>
  <c r="C44" i="6"/>
  <c r="D44" i="6"/>
  <c r="A88" i="6"/>
  <c r="M107" i="4"/>
  <c r="C103" i="6"/>
  <c r="D103" i="6"/>
  <c r="O38" i="4"/>
  <c r="M38" i="4"/>
  <c r="A25" i="6"/>
  <c r="M70" i="4"/>
  <c r="A54" i="6"/>
  <c r="M95" i="4"/>
  <c r="A77" i="6"/>
  <c r="D62" i="6"/>
  <c r="C62" i="6"/>
  <c r="A76" i="6"/>
  <c r="M94" i="4"/>
  <c r="F111" i="6"/>
  <c r="H111" i="6" s="1"/>
  <c r="F95" i="6"/>
  <c r="H94" i="6"/>
  <c r="F110" i="6"/>
  <c r="H110" i="6" s="1"/>
  <c r="F109" i="6"/>
  <c r="H109" i="6" s="1"/>
  <c r="F108" i="6"/>
  <c r="H108" i="6" s="1"/>
  <c r="D118" i="6"/>
  <c r="C118" i="6"/>
  <c r="D54" i="6" l="1"/>
  <c r="C54" i="6"/>
  <c r="F77" i="6"/>
  <c r="H66" i="6"/>
  <c r="D108" i="6"/>
  <c r="C108" i="6"/>
  <c r="F76" i="6"/>
  <c r="H65" i="6"/>
  <c r="C55" i="6"/>
  <c r="D55" i="6"/>
  <c r="A67" i="6"/>
  <c r="M84" i="4"/>
  <c r="D83" i="6"/>
  <c r="C83" i="6"/>
  <c r="Q41" i="4"/>
  <c r="B41" i="4" s="1"/>
  <c r="A27" i="6" s="1"/>
  <c r="Q53" i="4"/>
  <c r="D72" i="6"/>
  <c r="C72" i="6"/>
  <c r="M49" i="4"/>
  <c r="A35" i="6"/>
  <c r="A89" i="6"/>
  <c r="M108" i="4"/>
  <c r="D109" i="6"/>
  <c r="C109" i="6"/>
  <c r="D110" i="6"/>
  <c r="C110" i="6"/>
  <c r="H95" i="6"/>
  <c r="F96" i="6"/>
  <c r="H96" i="6" s="1"/>
  <c r="D85" i="6"/>
  <c r="C85" i="6"/>
  <c r="D111" i="6"/>
  <c r="C111" i="6"/>
  <c r="B97" i="4"/>
  <c r="B73" i="4"/>
  <c r="B109" i="4"/>
  <c r="B61" i="4"/>
  <c r="B85" i="4"/>
  <c r="B127" i="4"/>
  <c r="P50" i="4"/>
  <c r="B50" i="4" s="1"/>
  <c r="P62" i="4"/>
  <c r="H75" i="6"/>
  <c r="F86" i="6"/>
  <c r="H86" i="6" s="1"/>
  <c r="A56" i="6"/>
  <c r="M72" i="4"/>
  <c r="C64" i="6"/>
  <c r="D64" i="6"/>
  <c r="O39" i="4"/>
  <c r="M39" i="4"/>
  <c r="A26" i="6"/>
  <c r="C74" i="6"/>
  <c r="D74" i="6"/>
  <c r="D84" i="6"/>
  <c r="C84" i="6"/>
  <c r="A45" i="6"/>
  <c r="M60" i="4"/>
  <c r="C94" i="6"/>
  <c r="D94" i="6"/>
  <c r="A78" i="6"/>
  <c r="M96" i="4"/>
  <c r="A104" i="6"/>
  <c r="M126" i="4"/>
  <c r="D73" i="6"/>
  <c r="C73" i="6"/>
  <c r="M109" i="4" l="1"/>
  <c r="A90" i="6"/>
  <c r="M73" i="4"/>
  <c r="A57" i="6"/>
  <c r="D65" i="6"/>
  <c r="C65" i="6"/>
  <c r="F87" i="6"/>
  <c r="H87" i="6" s="1"/>
  <c r="H76" i="6"/>
  <c r="A79" i="6"/>
  <c r="M97" i="4"/>
  <c r="C75" i="6"/>
  <c r="D75" i="6"/>
  <c r="C96" i="6"/>
  <c r="D96" i="6"/>
  <c r="B77" i="4"/>
  <c r="A60" i="6" s="1"/>
  <c r="B131" i="4"/>
  <c r="A108" i="6" s="1"/>
  <c r="B135" i="4"/>
  <c r="A110" i="6" s="1"/>
  <c r="B53" i="4"/>
  <c r="A38" i="6" s="1"/>
  <c r="B101" i="4"/>
  <c r="A82" i="6" s="1"/>
  <c r="B115" i="4"/>
  <c r="A94" i="6" s="1"/>
  <c r="B117" i="4"/>
  <c r="A95" i="6" s="1"/>
  <c r="B65" i="4"/>
  <c r="A49" i="6" s="1"/>
  <c r="B119" i="4"/>
  <c r="A97" i="6" s="1"/>
  <c r="B133" i="4"/>
  <c r="A109" i="6" s="1"/>
  <c r="B137" i="4"/>
  <c r="A111" i="6" s="1"/>
  <c r="B89" i="4"/>
  <c r="A71" i="6" s="1"/>
  <c r="D66" i="6"/>
  <c r="C66" i="6"/>
  <c r="H77" i="6"/>
  <c r="H125" i="6" s="1"/>
  <c r="D2" i="6" s="1"/>
  <c r="F88" i="6"/>
  <c r="H88" i="6" s="1"/>
  <c r="B128" i="4"/>
  <c r="B110" i="4"/>
  <c r="B98" i="4"/>
  <c r="B62" i="4"/>
  <c r="B74" i="4"/>
  <c r="B86" i="4"/>
  <c r="D86" i="6"/>
  <c r="C86" i="6"/>
  <c r="D95" i="6"/>
  <c r="C95" i="6"/>
  <c r="A105" i="6"/>
  <c r="M127" i="4"/>
  <c r="P51" i="4"/>
  <c r="B51" i="4" s="1"/>
  <c r="P63" i="4"/>
  <c r="M50" i="4"/>
  <c r="A36" i="6"/>
  <c r="M85" i="4"/>
  <c r="A68" i="6"/>
  <c r="A46" i="6"/>
  <c r="M61" i="4"/>
  <c r="D76" i="6" l="1"/>
  <c r="C76" i="6"/>
  <c r="M110" i="4"/>
  <c r="A91" i="6"/>
  <c r="C87" i="6"/>
  <c r="D87" i="6"/>
  <c r="A37" i="6"/>
  <c r="M51" i="4"/>
  <c r="A58" i="6"/>
  <c r="M74" i="4"/>
  <c r="A80" i="6"/>
  <c r="M98" i="4"/>
  <c r="A106" i="6"/>
  <c r="M128" i="4"/>
  <c r="D88" i="6"/>
  <c r="C88" i="6"/>
  <c r="D77" i="6"/>
  <c r="C77" i="6"/>
  <c r="B99" i="4"/>
  <c r="B111" i="4"/>
  <c r="B87" i="4"/>
  <c r="B129" i="4"/>
  <c r="B63" i="4"/>
  <c r="B75" i="4"/>
  <c r="A69" i="6"/>
  <c r="M86" i="4"/>
  <c r="A47" i="6"/>
  <c r="M62" i="4"/>
  <c r="M75" i="4" l="1"/>
  <c r="A59" i="6"/>
  <c r="A48" i="6"/>
  <c r="M63" i="4"/>
  <c r="A92" i="6"/>
  <c r="M111" i="4"/>
  <c r="A70" i="6"/>
  <c r="M87" i="4"/>
  <c r="A107" i="6"/>
  <c r="M129" i="4"/>
  <c r="A81" i="6"/>
  <c r="M9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<sst xmlns="http://schemas.openxmlformats.org/spreadsheetml/2006/main" count="28451" uniqueCount="20162">
  <si>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</si>
  <si>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</si>
  <si>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</si>
  <si>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</si>
  <si>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</si>
  <si>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</si>
  <si>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</si>
  <si>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</si>
  <si>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</si>
  <si>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</si>
  <si>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</si>
  <si>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</si>
  <si>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</si>
  <si>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</si>
  <si>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</si>
  <si>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</si>
  <si>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</si>
  <si>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</si>
  <si>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</si>
  <si>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</si>
  <si>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</si>
  <si>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</si>
  <si>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</si>
  <si>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</si>
  <si>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</si>
  <si>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</si>
  <si>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</si>
  <si>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</si>
  <si>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</si>
  <si>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</si>
  <si>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</si>
  <si>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</si>
  <si>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</si>
  <si>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</si>
  <si>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</si>
  <si>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</si>
  <si>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</si>
  <si>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</si>
  <si>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</si>
  <si>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</si>
  <si>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</si>
  <si>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</si>
  <si>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</si>
  <si>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</si>
  <si>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</si>
  <si>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</si>
  <si>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</si>
  <si>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</si>
  <si>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</si>
  <si>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</si>
  <si>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</si>
  <si>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</si>
  <si>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</si>
  <si>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</si>
  <si>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</si>
  <si>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</si>
  <si>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</si>
  <si>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</si>
  <si>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</si>
  <si>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</si>
  <si>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</si>
  <si>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</si>
  <si>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</si>
  <si>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</si>
  <si>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</si>
  <si>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</si>
  <si>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</si>
  <si>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</si>
  <si>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</si>
  <si>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</si>
  <si>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</si>
  <si>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</si>
  <si>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</si>
  <si>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</si>
  <si>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</si>
  <si>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</si>
  <si>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</si>
  <si>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</si>
  <si>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</si>
  <si>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</si>
  <si>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</si>
  <si>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</si>
  <si>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</si>
  <si>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</si>
  <si>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</si>
  <si>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</si>
  <si>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</si>
  <si>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</si>
  <si>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</si>
  <si>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</si>
  <si>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</si>
  <si>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</si>
  <si>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</si>
  <si>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</si>
  <si>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</si>
  <si>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</si>
  <si>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</si>
  <si>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</si>
  <si>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</si>
  <si>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</si>
  <si>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</si>
  <si>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</si>
  <si>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</si>
  <si>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</si>
  <si>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</si>
  <si>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</si>
  <si>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</si>
  <si>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</si>
  <si>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</si>
  <si>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</si>
  <si>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</si>
  <si>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</si>
  <si>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</si>
  <si>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</si>
  <si>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</si>
  <si>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</si>
  <si>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</si>
  <si>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</si>
  <si>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</si>
  <si>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</si>
  <si>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</si>
  <si>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</si>
  <si>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</si>
  <si>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</si>
  <si>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</si>
  <si>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</si>
  <si>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</si>
  <si>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</si>
  <si>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</si>
  <si>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</si>
  <si>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</si>
  <si>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</si>
  <si>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</si>
  <si>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</si>
  <si>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</si>
  <si>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</si>
  <si>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</si>
  <si>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</si>
  <si>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</si>
  <si>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</si>
  <si>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</si>
  <si>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</si>
  <si>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</si>
  <si>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</si>
  <si>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</si>
  <si>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</si>
  <si>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</si>
  <si>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</si>
  <si>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</si>
  <si>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</si>
  <si>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</si>
  <si>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</si>
  <si>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</si>
  <si>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</si>
  <si>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</si>
  <si>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</si>
  <si>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</si>
  <si>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</si>
  <si>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</si>
  <si>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</si>
  <si>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</si>
  <si>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</si>
  <si>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</si>
  <si>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</si>
  <si>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</si>
  <si>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</si>
  <si>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</si>
  <si>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</si>
  <si>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</si>
  <si>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</si>
  <si>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</si>
  <si>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</si>
  <si>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</si>
  <si>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</si>
  <si>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</si>
  <si>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</si>
  <si>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</si>
  <si>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</si>
  <si>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</si>
  <si>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</si>
  <si>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</si>
  <si>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</si>
  <si>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</si>
  <si>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</si>
  <si>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</si>
  <si>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</si>
  <si>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</si>
  <si>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</si>
  <si>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</si>
  <si>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</si>
  <si>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</si>
  <si>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</si>
  <si>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</si>
  <si>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</si>
  <si>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</si>
  <si>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</si>
  <si>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</si>
  <si>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</si>
  <si>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</si>
  <si>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</si>
  <si>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</si>
  <si>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</si>
  <si>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</si>
  <si>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</si>
  <si>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</si>
  <si>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</si>
  <si>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</si>
  <si>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</si>
  <si>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</si>
  <si>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</si>
  <si>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</si>
  <si>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</si>
  <si>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</si>
  <si>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</si>
  <si>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</si>
  <si>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</si>
  <si>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</si>
  <si>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</si>
  <si>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</si>
  <si>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</si>
  <si>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</si>
  <si>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</si>
  <si>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</si>
  <si>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</si>
  <si>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</si>
  <si>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</si>
  <si>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</si>
  <si>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</si>
  <si>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</si>
  <si>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</si>
  <si>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</si>
  <si>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</si>
  <si>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</si>
  <si>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</si>
  <si>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</si>
  <si>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</si>
  <si>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</si>
  <si>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</si>
  <si>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</si>
  <si>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</si>
  <si>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</si>
  <si>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</si>
  <si>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</si>
  <si>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</si>
  <si>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</si>
  <si>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</si>
  <si>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</si>
  <si>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</si>
  <si>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</si>
  <si>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</si>
  <si>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</si>
  <si>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</si>
  <si>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</si>
  <si>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</si>
  <si>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</si>
  <si>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</si>
  <si>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</si>
  <si>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</si>
  <si>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</si>
  <si>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</si>
  <si>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</si>
  <si>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</si>
  <si>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</si>
  <si>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</si>
  <si>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</si>
  <si>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</si>
  <si>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</si>
  <si>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</si>
  <si>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</si>
  <si>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</si>
  <si>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</si>
  <si>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</si>
  <si>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</si>
  <si>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</si>
  <si>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</si>
  <si>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</si>
  <si>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</si>
  <si>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</si>
  <si>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</si>
  <si>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</si>
  <si>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</si>
  <si>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</si>
  <si>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</si>
  <si>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</si>
  <si>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</si>
  <si>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</si>
  <si>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</si>
  <si>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</si>
  <si>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</si>
  <si>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</si>
  <si>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</si>
  <si>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</si>
  <si>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</si>
  <si>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</si>
  <si>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</si>
  <si>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</si>
  <si>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</si>
  <si>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</si>
  <si>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</si>
  <si>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</si>
  <si>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</si>
  <si>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</si>
  <si>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</si>
  <si>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</si>
  <si>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</si>
  <si>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</si>
  <si>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</si>
  <si>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</si>
  <si>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</si>
  <si>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</si>
  <si>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</si>
  <si>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</si>
  <si>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</si>
  <si>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</si>
  <si>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</si>
  <si>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</si>
  <si>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</si>
  <si>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</si>
  <si>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</si>
  <si>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</si>
  <si>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</si>
  <si>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</si>
  <si>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</si>
  <si>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</si>
  <si>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</si>
  <si>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</si>
  <si>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</si>
  <si>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</si>
  <si>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</si>
  <si>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</si>
  <si>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</si>
  <si>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</si>
  <si>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</si>
  <si>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</si>
  <si>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</si>
  <si>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</si>
  <si>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</si>
  <si>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</si>
  <si>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</si>
  <si>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</si>
  <si>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</si>
  <si>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</si>
  <si>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</si>
  <si>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</si>
  <si>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</si>
  <si>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</si>
  <si>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</si>
  <si>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</si>
  <si>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</si>
  <si>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</si>
  <si>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</si>
  <si>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</si>
  <si>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</si>
  <si>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</si>
  <si>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</si>
  <si>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</si>
  <si>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</si>
  <si>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</si>
  <si>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</si>
  <si>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</si>
  <si>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</si>
  <si>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</si>
  <si>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</si>
  <si>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</si>
  <si>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</si>
  <si>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</si>
  <si>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</si>
  <si>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</si>
  <si>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</si>
  <si>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</si>
  <si>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</si>
  <si>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</si>
  <si>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</si>
  <si>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</si>
  <si>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</si>
  <si>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</si>
  <si>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</si>
  <si>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</si>
  <si>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</si>
  <si>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</si>
  <si>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</si>
  <si>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</si>
  <si>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</si>
  <si>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</si>
  <si>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</si>
  <si>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</si>
  <si>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</si>
  <si>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</si>
  <si>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</si>
  <si>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</si>
  <si>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</si>
  <si>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</si>
  <si>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</si>
  <si>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</si>
  <si>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</si>
  <si>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</si>
  <si>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</si>
  <si>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</si>
  <si>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</si>
  <si>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</si>
  <si>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</si>
  <si>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</si>
  <si>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</si>
  <si>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</si>
  <si>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</si>
  <si>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</si>
  <si>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</si>
  <si>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</si>
  <si>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</si>
  <si>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</si>
  <si>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</si>
  <si>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</si>
  <si>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</si>
  <si>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</si>
  <si>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</si>
  <si>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</si>
  <si>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</si>
  <si>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</si>
  <si>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</si>
  <si>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</si>
  <si>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</si>
  <si>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</si>
  <si>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</si>
  <si>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</si>
  <si>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</si>
  <si>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</si>
  <si>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</si>
  <si>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</si>
  <si>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</si>
  <si>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</si>
  <si>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</si>
  <si>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</si>
  <si>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</si>
  <si>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</si>
  <si>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</si>
  <si>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</si>
  <si>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</si>
  <si>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</si>
  <si>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</si>
  <si>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</si>
  <si>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</si>
  <si>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</si>
  <si>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</si>
  <si>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</si>
  <si>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</si>
  <si>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</si>
  <si>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</si>
  <si>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</si>
  <si>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</si>
  <si>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</si>
  <si>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</si>
  <si>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</si>
  <si>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</si>
  <si>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</si>
  <si>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</si>
  <si>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</si>
  <si>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</si>
  <si>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</si>
  <si>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</si>
  <si>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</si>
  <si>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</si>
  <si>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</si>
  <si>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</si>
  <si>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</si>
  <si>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</si>
  <si>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</si>
  <si>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</si>
  <si>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</si>
  <si>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</si>
  <si>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</si>
  <si>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</si>
  <si>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</si>
  <si>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</si>
  <si>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</si>
  <si>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</si>
  <si>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</si>
  <si>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</si>
  <si>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</si>
  <si>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</si>
  <si>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</si>
  <si>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</si>
  <si>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</si>
  <si>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</si>
  <si>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</si>
  <si>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</si>
  <si>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</si>
  <si>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</si>
  <si>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</si>
  <si>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</si>
  <si>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</si>
  <si>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</si>
  <si>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</si>
  <si>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</si>
  <si>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</si>
  <si>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</si>
  <si>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</si>
  <si>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</si>
  <si>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</si>
  <si>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</si>
  <si>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</si>
  <si>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</si>
  <si>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</si>
  <si>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</si>
  <si>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</si>
  <si>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</si>
  <si>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</si>
  <si>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</si>
  <si>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</si>
  <si>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</si>
  <si>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</si>
  <si>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</si>
  <si>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</si>
  <si>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</si>
  <si>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</si>
  <si>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</si>
  <si>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</si>
  <si>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</si>
  <si>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</si>
  <si>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</si>
  <si>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</si>
  <si>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</si>
  <si>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</si>
  <si>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</si>
  <si>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</si>
  <si>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</si>
  <si>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</si>
  <si>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</si>
  <si>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</si>
  <si>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</si>
  <si>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</si>
  <si>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</si>
  <si>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</si>
  <si>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</si>
  <si>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</si>
  <si>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</si>
  <si>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</si>
  <si>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</si>
  <si>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</si>
  <si>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</si>
  <si>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</si>
  <si>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</si>
  <si>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</si>
  <si>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</si>
  <si>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</si>
  <si>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</si>
  <si>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</si>
  <si>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</si>
  <si>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</si>
  <si>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</si>
  <si>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</si>
  <si>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</si>
  <si>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</si>
  <si>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</si>
  <si>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</si>
  <si>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</si>
  <si>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</si>
  <si>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</si>
  <si>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</si>
  <si>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</si>
  <si>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</si>
  <si>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</si>
  <si>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</si>
  <si>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</si>
  <si>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</si>
  <si>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</si>
  <si>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</si>
  <si>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</si>
  <si>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</si>
  <si>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</si>
  <si>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</si>
  <si>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</si>
  <si>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</si>
  <si>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</si>
  <si>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</si>
  <si>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</si>
  <si>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</si>
  <si>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</si>
  <si>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</si>
  <si>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</si>
  <si>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</si>
  <si>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</si>
  <si>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</si>
  <si>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</si>
  <si>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</si>
  <si>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</si>
  <si>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</si>
  <si>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</si>
  <si>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</si>
  <si>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</si>
  <si>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</si>
  <si>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</si>
  <si>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</si>
  <si>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</si>
  <si>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</si>
  <si>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</si>
  <si>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</si>
  <si>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</si>
  <si>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</si>
  <si>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</si>
  <si>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</si>
  <si>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</si>
  <si>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</si>
  <si>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</si>
  <si>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</si>
  <si>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</si>
  <si>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</si>
  <si>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</si>
  <si>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</si>
  <si>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</si>
  <si>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</si>
  <si>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</si>
  <si>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</si>
  <si>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</si>
  <si>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</si>
  <si>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</si>
  <si>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</si>
  <si>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</si>
  <si>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</si>
  <si>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</si>
  <si>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</si>
  <si>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</si>
  <si>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</si>
  <si>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</si>
  <si>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</si>
  <si>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</si>
  <si>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</si>
  <si>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</si>
  <si>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</si>
  <si>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</si>
  <si>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</si>
  <si>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</si>
  <si>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</si>
  <si>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</si>
  <si>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</si>
  <si>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</si>
  <si>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</si>
  <si>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</si>
  <si>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</si>
  <si>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</si>
  <si>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</si>
  <si>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</si>
  <si>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</si>
  <si>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</si>
  <si>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</si>
  <si>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</si>
  <si>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</si>
  <si>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</si>
  <si>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</si>
  <si>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</si>
  <si>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</si>
  <si>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</si>
  <si>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</si>
  <si>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</si>
  <si>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</si>
  <si>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</si>
  <si>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</si>
  <si>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</si>
  <si>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</si>
  <si>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</si>
  <si>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</si>
  <si>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</si>
  <si>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</si>
  <si>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</si>
  <si>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</si>
  <si>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</si>
  <si>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</si>
  <si>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</si>
  <si>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</si>
  <si>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</si>
  <si>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</si>
  <si>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</si>
  <si>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</si>
  <si>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</si>
  <si>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</si>
  <si>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</si>
  <si>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</si>
  <si>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</si>
  <si>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</si>
  <si>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</si>
  <si>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</si>
  <si>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</si>
  <si>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</si>
  <si>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</si>
  <si>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</si>
  <si>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</si>
  <si>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</si>
  <si>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</si>
  <si>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</si>
  <si>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</si>
  <si>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</si>
  <si>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</si>
  <si>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</si>
  <si>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</si>
  <si>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</si>
  <si>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</si>
  <si>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</si>
  <si>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</si>
  <si>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</si>
  <si>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</si>
  <si>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</si>
  <si>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</si>
  <si>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</si>
  <si>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</si>
  <si>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</si>
  <si>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</si>
  <si>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</si>
  <si>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</si>
  <si>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</si>
  <si>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</si>
  <si>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</si>
  <si>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</si>
  <si>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</si>
  <si>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</si>
  <si>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</si>
  <si>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</si>
  <si>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</si>
  <si>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</si>
  <si>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</si>
  <si>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</si>
  <si>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</si>
  <si>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</si>
  <si>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</si>
  <si>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</si>
  <si>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</si>
  <si>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</si>
  <si>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</si>
  <si>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</si>
  <si>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</si>
  <si>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</si>
  <si>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</si>
  <si>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</si>
  <si>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</si>
  <si>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</si>
  <si>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</si>
  <si>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</si>
  <si>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</si>
  <si>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</si>
  <si>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</si>
  <si>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</si>
  <si>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</si>
  <si>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</si>
  <si>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</si>
  <si>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</si>
  <si>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</si>
  <si>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</si>
  <si>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</si>
  <si>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</si>
  <si>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</si>
  <si>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</si>
  <si>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</si>
  <si>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</si>
  <si>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</si>
  <si>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</si>
  <si>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</si>
  <si>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</si>
  <si>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</si>
  <si>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</si>
  <si>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</si>
  <si>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</si>
  <si>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</si>
  <si>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</si>
  <si>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</si>
  <si>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</si>
  <si>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</si>
  <si>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</si>
  <si>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</si>
  <si>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</si>
  <si>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</si>
  <si>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</si>
  <si>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</si>
  <si>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</si>
  <si>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</si>
  <si>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</si>
  <si>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</si>
  <si>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</si>
  <si>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</si>
  <si>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</si>
  <si>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</si>
  <si>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</si>
  <si>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</si>
  <si>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</si>
  <si>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</si>
  <si>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</si>
  <si>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</si>
  <si>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</si>
  <si>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</si>
  <si>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</si>
  <si>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</si>
  <si>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</si>
  <si>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</si>
  <si>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</si>
  <si>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</si>
  <si>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</si>
  <si>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</si>
  <si>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</si>
  <si>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</si>
  <si>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</si>
  <si>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</si>
  <si>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</si>
  <si>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</si>
  <si>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</si>
  <si>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</si>
  <si>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</si>
  <si>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</si>
  <si>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</si>
  <si>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</si>
  <si>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</si>
  <si>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</si>
  <si>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</si>
  <si>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</si>
  <si>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</si>
  <si>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</si>
  <si>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</si>
  <si>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</si>
  <si>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</si>
  <si>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</si>
  <si>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</si>
  <si>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</si>
  <si>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</si>
  <si>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</si>
  <si>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</si>
  <si>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</si>
  <si>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</si>
  <si>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</si>
  <si>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</si>
  <si>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</si>
  <si>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</si>
  <si>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</si>
  <si>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</si>
  <si>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</si>
  <si>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</si>
  <si>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</si>
  <si>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</si>
  <si>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</si>
  <si>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</si>
  <si>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</si>
  <si>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</si>
  <si>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</si>
  <si>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</si>
  <si>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</si>
  <si>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</si>
  <si>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</si>
  <si>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</si>
  <si>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</si>
  <si>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</si>
  <si>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</si>
  <si>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</si>
  <si>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</si>
  <si>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</si>
  <si>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</si>
  <si>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</si>
  <si>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</si>
  <si>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</si>
  <si>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</si>
  <si>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</si>
  <si>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</si>
  <si>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</si>
  <si>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</si>
  <si>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</si>
  <si>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</si>
  <si>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</si>
  <si>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</si>
  <si>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</si>
  <si>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</si>
  <si>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</si>
  <si>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</si>
  <si>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</si>
  <si>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</si>
  <si>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</si>
  <si>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</si>
  <si>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</si>
  <si>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</si>
  <si>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</si>
  <si>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</si>
  <si>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</si>
  <si>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</si>
  <si>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</si>
  <si>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</si>
  <si>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</si>
  <si>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</si>
  <si>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</si>
  <si>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</si>
  <si>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</si>
  <si>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</si>
  <si>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</si>
  <si>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</si>
  <si>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</si>
  <si>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</si>
  <si>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</si>
  <si>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</si>
  <si>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</si>
  <si>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</si>
  <si>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</si>
  <si>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</si>
  <si>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</si>
  <si>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</si>
  <si>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</si>
  <si>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</si>
  <si>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</si>
  <si>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</si>
  <si>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</si>
  <si>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</si>
  <si>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</si>
  <si>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</si>
  <si>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</si>
  <si>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</si>
  <si>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</si>
  <si>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</si>
  <si>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</si>
  <si>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</si>
  <si>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</si>
  <si>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</si>
  <si>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</si>
  <si>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</si>
  <si>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</si>
  <si>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</si>
  <si>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</si>
  <si>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</si>
  <si>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</si>
  <si>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</si>
  <si>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</si>
  <si>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</si>
  <si>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</si>
  <si>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</si>
  <si>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</si>
  <si>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</si>
  <si>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</si>
  <si>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</si>
  <si>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</si>
  <si>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</si>
  <si>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</si>
  <si>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</si>
  <si>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</si>
  <si>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</si>
  <si>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</si>
  <si>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</si>
  <si>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</si>
  <si>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</si>
  <si>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</si>
  <si>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</si>
  <si>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</si>
  <si>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</si>
  <si>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</si>
  <si>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</si>
  <si>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</si>
  <si>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</si>
  <si>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</si>
  <si>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</si>
  <si>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</si>
  <si>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</si>
  <si>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</si>
  <si>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</si>
  <si>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</si>
  <si>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</si>
  <si>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</si>
  <si>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</si>
  <si>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</si>
  <si>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</si>
  <si>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</si>
  <si>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</si>
  <si>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</si>
  <si>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</si>
  <si>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</si>
  <si>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</si>
  <si>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</si>
  <si>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</si>
  <si>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</si>
  <si>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</si>
  <si>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</si>
  <si>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</si>
  <si>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</si>
  <si>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</si>
  <si>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</si>
  <si>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</si>
  <si>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</si>
  <si>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</si>
  <si>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</si>
  <si>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</si>
  <si>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</si>
  <si>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</si>
  <si>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</si>
  <si>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</si>
  <si>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</si>
  <si>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</si>
  <si>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</si>
  <si>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</si>
  <si>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</si>
  <si>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</si>
  <si>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</si>
  <si>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</si>
  <si>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</si>
  <si>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</si>
  <si>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</si>
  <si>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</si>
  <si>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</si>
  <si>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</si>
  <si>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</si>
  <si>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</si>
  <si>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</si>
  <si>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</si>
  <si>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</si>
  <si>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</si>
  <si>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</si>
  <si>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</si>
  <si>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</si>
  <si>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</si>
  <si>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</si>
  <si>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</si>
  <si>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</si>
  <si>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</si>
  <si>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</si>
  <si>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</si>
  <si>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</si>
  <si>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</si>
  <si>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</si>
  <si>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</si>
  <si>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</si>
  <si>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</si>
  <si>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</si>
  <si>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</si>
  <si>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</si>
  <si>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</si>
  <si>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</si>
  <si>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</si>
  <si>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</si>
  <si>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</si>
  <si>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</si>
  <si>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</si>
  <si>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</si>
  <si>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</si>
  <si>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</si>
  <si>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</si>
  <si>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</si>
  <si>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</si>
  <si>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</si>
  <si>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</si>
  <si>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</si>
  <si>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</si>
  <si>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</si>
  <si>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</si>
  <si>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</si>
  <si>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</si>
  <si>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</si>
  <si>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</si>
  <si>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</si>
  <si>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</si>
  <si>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</si>
  <si>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</si>
  <si>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</si>
  <si>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</si>
  <si>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</si>
  <si>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</si>
  <si>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</si>
  <si>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</si>
  <si>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</si>
  <si>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</si>
  <si>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</si>
  <si>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</si>
  <si>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</si>
  <si>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</si>
  <si>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</si>
  <si>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</si>
  <si>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</si>
  <si>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</si>
  <si>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</si>
  <si>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</si>
  <si>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</si>
  <si>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</si>
  <si>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</si>
  <si>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</si>
  <si>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</si>
  <si>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</si>
  <si>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</si>
  <si>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</si>
  <si>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</si>
  <si>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</si>
  <si>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</si>
  <si>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</si>
  <si>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</si>
  <si>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</si>
  <si>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</si>
  <si>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</si>
  <si>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</si>
  <si>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</si>
  <si>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</si>
  <si>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</si>
  <si>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</si>
  <si>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</si>
  <si>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</si>
  <si>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</si>
  <si>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</si>
  <si>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</si>
  <si>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</si>
  <si>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</si>
  <si>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</si>
  <si>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</si>
  <si>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</si>
  <si>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</si>
  <si>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</si>
  <si>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</si>
  <si>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</si>
  <si>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</si>
  <si>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</si>
  <si>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</si>
  <si>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</si>
  <si>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</si>
  <si>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</si>
  <si>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</si>
  <si>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</si>
  <si>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</si>
  <si>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</si>
  <si>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</si>
  <si>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</si>
  <si>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</si>
  <si>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</si>
  <si>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</si>
  <si>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</si>
  <si>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</si>
  <si>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</si>
  <si>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</si>
  <si>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</si>
  <si>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</si>
  <si>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</si>
  <si>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</si>
  <si>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</si>
  <si>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</si>
  <si>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</si>
  <si>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</si>
  <si>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</si>
  <si>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</si>
  <si>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</si>
  <si>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</si>
  <si>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</si>
  <si>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</si>
  <si>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</si>
  <si>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</si>
  <si>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</si>
  <si>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</si>
  <si>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</si>
  <si>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</si>
  <si>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</si>
  <si>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</si>
  <si>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</si>
  <si>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</si>
  <si>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</si>
  <si>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</si>
  <si>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</si>
  <si>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</si>
  <si>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</si>
  <si>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</si>
  <si>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</si>
  <si>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</si>
  <si>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</si>
  <si>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</si>
  <si>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</si>
  <si>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</si>
  <si>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</si>
  <si>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</si>
  <si>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</si>
  <si>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</si>
  <si>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</si>
  <si>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</si>
  <si>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</si>
  <si>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</si>
  <si>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</si>
  <si>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</si>
  <si>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</si>
  <si>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</si>
  <si>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</si>
  <si>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</si>
  <si>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</si>
  <si>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</si>
  <si>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</si>
  <si>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</si>
  <si>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</si>
  <si>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</si>
  <si>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</si>
  <si>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</si>
  <si>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</si>
  <si>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</si>
  <si>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</si>
  <si>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</si>
  <si>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</si>
  <si>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</si>
  <si>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</si>
  <si>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</si>
  <si>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</si>
  <si>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</si>
  <si>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</si>
  <si>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</si>
  <si>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</si>
  <si>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</si>
  <si>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</si>
  <si>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</si>
  <si>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</si>
  <si>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</si>
  <si>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</si>
  <si>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</si>
  <si>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</si>
  <si>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</si>
  <si>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</si>
  <si>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</si>
  <si>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</si>
  <si>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</si>
  <si>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</si>
  <si>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</si>
  <si>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</si>
  <si>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</si>
  <si>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</si>
  <si>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</si>
  <si>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</si>
  <si>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</si>
  <si>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</si>
  <si>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</si>
  <si>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</si>
  <si>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</si>
  <si>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</si>
  <si>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</si>
  <si>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</si>
  <si>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</si>
  <si>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</si>
  <si>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</si>
  <si>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</si>
  <si>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</si>
  <si>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</si>
  <si>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</si>
  <si>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</si>
  <si>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</si>
  <si>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</si>
  <si>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</si>
  <si>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</si>
  <si>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</si>
  <si>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</si>
  <si>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</si>
  <si>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</si>
  <si>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</si>
  <si>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</si>
  <si>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</si>
  <si>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</si>
  <si>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</si>
  <si>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</si>
  <si>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</si>
  <si>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</si>
  <si>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</si>
  <si>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</si>
  <si>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</si>
  <si>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</si>
  <si>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</si>
  <si>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</si>
  <si>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</si>
  <si>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</si>
  <si>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</si>
  <si>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</si>
  <si>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</si>
  <si>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</si>
  <si>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</si>
  <si>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</si>
  <si>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</si>
  <si>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</si>
  <si>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</si>
  <si>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</si>
  <si>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</si>
  <si>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</si>
  <si>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</si>
  <si>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</si>
  <si>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</si>
  <si>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</si>
  <si>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</si>
  <si>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</si>
  <si>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</si>
  <si>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</si>
  <si>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</si>
  <si>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</si>
  <si>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</si>
  <si>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</si>
  <si>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</si>
  <si>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</si>
  <si>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</si>
  <si>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</si>
  <si>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</si>
  <si>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</si>
  <si>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</si>
  <si>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</si>
  <si>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</si>
  <si>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</si>
  <si>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</si>
  <si>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</si>
  <si>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</si>
  <si>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</si>
  <si>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</si>
  <si>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</si>
  <si>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</si>
  <si>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</si>
  <si>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</si>
  <si>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</si>
  <si>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</si>
  <si>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</si>
  <si>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</si>
  <si>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</si>
  <si>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</si>
  <si>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</si>
  <si>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</si>
  <si>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</si>
  <si>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</si>
  <si>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</si>
  <si>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</si>
  <si>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</si>
  <si>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</si>
  <si>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</si>
  <si>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</si>
  <si>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</si>
  <si>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</si>
  <si>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</si>
  <si>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</si>
  <si>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</si>
  <si>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</si>
  <si>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</si>
  <si>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</si>
  <si>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</si>
  <si>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</si>
  <si>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</si>
  <si>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</si>
  <si>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</si>
  <si>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</si>
  <si>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</si>
  <si>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</si>
  <si>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</si>
  <si>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</si>
  <si>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</si>
  <si>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</si>
  <si>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</si>
  <si>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</si>
  <si>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</si>
  <si>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</si>
  <si>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</si>
  <si>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</si>
  <si>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</si>
  <si>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</si>
  <si>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</si>
  <si>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</si>
  <si>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</si>
  <si>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</si>
  <si>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</si>
  <si>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</si>
  <si>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</si>
  <si>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</si>
  <si>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</si>
  <si>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</si>
  <si>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</si>
  <si>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</si>
  <si>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</si>
  <si>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</si>
  <si>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</si>
  <si>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</si>
  <si>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</si>
  <si>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</si>
  <si>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</si>
  <si>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</si>
  <si>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</si>
  <si>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</si>
  <si>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</si>
  <si>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</si>
  <si>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</si>
  <si>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</si>
  <si>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</si>
  <si>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</si>
  <si>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</si>
  <si>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</si>
  <si>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</si>
  <si>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</si>
  <si>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</si>
  <si>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</si>
  <si>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</si>
  <si>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</si>
  <si>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</si>
  <si>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</si>
  <si>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</si>
  <si>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</si>
  <si>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</si>
  <si>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</si>
  <si>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</si>
  <si>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</si>
  <si>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</si>
  <si>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</si>
  <si>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</si>
  <si>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</si>
  <si>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</si>
  <si>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</si>
  <si>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</si>
  <si>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</si>
  <si>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</si>
  <si>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</si>
  <si>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</si>
  <si>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</si>
  <si>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</si>
  <si>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</si>
  <si>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</si>
  <si>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</si>
  <si>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</si>
  <si>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</si>
  <si>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</si>
  <si>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</si>
  <si>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</si>
  <si>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</si>
  <si>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</si>
  <si>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</si>
  <si>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</si>
  <si>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</si>
  <si>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</si>
  <si>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</si>
  <si>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</si>
  <si>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</si>
  <si>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</si>
  <si>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</si>
  <si>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</si>
  <si>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</si>
  <si>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</si>
  <si>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</si>
  <si>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</si>
  <si>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</si>
  <si>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</si>
  <si>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</si>
  <si>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</si>
  <si>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</si>
  <si>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</si>
  <si>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</si>
  <si>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</si>
  <si>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</si>
  <si>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</si>
  <si>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</si>
  <si>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</si>
  <si>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</si>
  <si>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</si>
  <si>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</si>
  <si>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</si>
  <si>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</si>
  <si>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</si>
  <si>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</si>
  <si>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</si>
  <si>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</si>
  <si>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</si>
  <si>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</si>
  <si>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</si>
  <si>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</si>
  <si>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</si>
  <si>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</si>
  <si>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</si>
  <si>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</si>
  <si>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</si>
  <si>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</si>
  <si>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</si>
  <si>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</si>
  <si>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</si>
  <si>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</si>
  <si>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</si>
  <si>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</si>
  <si>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</si>
  <si>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</si>
  <si>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</si>
  <si>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</si>
  <si>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</si>
  <si>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</si>
  <si>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</si>
  <si>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</si>
  <si>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</si>
  <si>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</si>
  <si>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</si>
  <si>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</si>
  <si>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</si>
  <si>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</si>
  <si>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</si>
  <si>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</si>
  <si>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</si>
  <si>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</si>
  <si>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</si>
  <si>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</si>
  <si>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</si>
  <si>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</si>
  <si>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</si>
  <si>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</si>
  <si>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</si>
  <si>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</si>
  <si>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</si>
  <si>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</si>
  <si>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</si>
  <si>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</si>
  <si>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</si>
  <si>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</si>
  <si>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</si>
  <si>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</si>
  <si>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</si>
  <si>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</si>
  <si>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</si>
  <si>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</si>
  <si>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</si>
  <si>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</si>
  <si>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</si>
  <si>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</si>
  <si>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</si>
  <si>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</si>
  <si>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</si>
  <si>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</si>
  <si>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</si>
  <si>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</si>
  <si>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</si>
  <si>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</si>
  <si>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</si>
  <si>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</si>
  <si>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</si>
  <si>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</si>
  <si>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</si>
  <si>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</si>
  <si>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</si>
  <si>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</si>
  <si>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</si>
  <si>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</si>
  <si>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</si>
  <si>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</si>
  <si>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</si>
  <si>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</si>
  <si>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</si>
  <si>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</si>
  <si>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</si>
  <si>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</si>
  <si>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</si>
  <si>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</si>
  <si>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</si>
  <si>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</si>
  <si>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</si>
  <si>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</si>
  <si>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</si>
  <si>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</si>
  <si>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</si>
  <si>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</si>
  <si>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</si>
  <si>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</si>
  <si>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</si>
  <si>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</si>
  <si>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</si>
  <si>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</si>
  <si>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</si>
  <si>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</si>
  <si>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</si>
  <si>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</si>
  <si>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</si>
  <si>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</si>
  <si>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</si>
  <si>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</si>
  <si>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</si>
  <si>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</si>
  <si>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</si>
  <si>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</si>
  <si>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</si>
  <si>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</si>
  <si>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</si>
  <si>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</si>
  <si>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</si>
  <si>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</si>
  <si>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</si>
  <si>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</si>
  <si>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</si>
  <si>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</si>
  <si>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</si>
  <si>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</si>
  <si>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</si>
  <si>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</si>
  <si>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</si>
  <si>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</si>
  <si>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</si>
  <si>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</si>
  <si>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</si>
  <si>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</si>
  <si>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</si>
  <si>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</si>
  <si>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</si>
  <si>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</si>
  <si>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</si>
  <si>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</si>
  <si>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</si>
  <si>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</si>
  <si>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</si>
  <si>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</si>
  <si>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</si>
  <si>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</si>
  <si>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</si>
  <si>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</si>
  <si>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</si>
  <si>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</si>
  <si>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</si>
  <si>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</si>
  <si>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</si>
  <si>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</si>
  <si>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</si>
  <si>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</si>
  <si>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</si>
  <si>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</si>
  <si>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</si>
  <si>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</si>
  <si>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</si>
  <si>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</si>
  <si>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</si>
  <si>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</si>
  <si>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</si>
  <si>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</si>
  <si>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</si>
  <si>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</si>
  <si>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</si>
  <si>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</si>
  <si>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</si>
  <si>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</si>
  <si>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</si>
  <si>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</si>
  <si>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</si>
  <si>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</si>
  <si>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</si>
  <si>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</si>
  <si>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</si>
  <si>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</si>
  <si>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</si>
  <si>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</si>
  <si>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</si>
  <si>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</si>
  <si>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</si>
  <si>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</si>
  <si>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</si>
  <si>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</si>
  <si>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</si>
  <si>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</si>
  <si>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</si>
  <si>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</si>
  <si>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</si>
  <si>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</si>
  <si>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</si>
  <si>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</si>
  <si>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</si>
  <si>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</si>
  <si>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</si>
  <si>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</si>
  <si>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</si>
  <si>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</si>
  <si>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</si>
  <si>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</si>
  <si>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</si>
  <si>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</si>
  <si>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</si>
  <si>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</si>
  <si>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</si>
  <si>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</si>
  <si>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</si>
  <si>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</si>
  <si>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</si>
  <si>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</si>
  <si>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</si>
  <si>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</si>
  <si>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</si>
  <si>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</si>
  <si>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</si>
  <si>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</si>
  <si>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</si>
  <si>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</si>
  <si>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</si>
  <si>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</si>
  <si>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</si>
  <si>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</si>
  <si>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</si>
  <si>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</si>
  <si>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</si>
  <si>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</si>
  <si>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</si>
  <si>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</si>
  <si>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</si>
  <si>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</si>
  <si>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</si>
  <si>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</si>
  <si>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</si>
  <si>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</si>
  <si>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</si>
  <si>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</si>
  <si>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</si>
  <si>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</si>
  <si>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</si>
  <si>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</si>
  <si>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</si>
  <si>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</si>
  <si>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</si>
  <si>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</si>
  <si>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</si>
  <si>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</si>
  <si>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</si>
  <si>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</si>
  <si>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</si>
  <si>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</si>
  <si>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</si>
  <si>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</si>
  <si>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</si>
  <si>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</si>
  <si>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</si>
  <si>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</si>
  <si>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</si>
  <si>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</si>
  <si>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</si>
  <si>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</si>
  <si>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</si>
  <si>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</si>
  <si>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</si>
  <si>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</si>
  <si>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</si>
  <si>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</si>
  <si>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</si>
  <si>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</si>
  <si>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</si>
  <si>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</si>
  <si>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</si>
  <si>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</si>
  <si>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</si>
  <si>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</si>
  <si>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</si>
  <si>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</si>
  <si>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</si>
  <si>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</si>
  <si>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</si>
  <si>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</si>
  <si>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</si>
  <si>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</si>
  <si>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</si>
  <si>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</si>
  <si>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</si>
  <si>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</si>
  <si>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</si>
  <si>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</si>
  <si>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</si>
  <si>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</si>
  <si>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</si>
  <si>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</si>
  <si>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</si>
  <si>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</si>
  <si>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</si>
  <si>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</si>
  <si>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</si>
  <si>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</si>
  <si>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</si>
  <si>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</si>
  <si>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</si>
  <si>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</si>
  <si>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</si>
  <si>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</si>
  <si>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</si>
  <si>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</si>
  <si>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</si>
  <si>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</si>
  <si>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</si>
  <si>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</si>
  <si>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</si>
  <si>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</si>
  <si>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</si>
  <si>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</si>
  <si>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</si>
  <si>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</si>
  <si>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</si>
  <si>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</si>
  <si>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</si>
  <si>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</si>
  <si>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</si>
  <si>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</si>
  <si>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</si>
  <si>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</si>
  <si>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</si>
  <si>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</si>
  <si>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</si>
  <si>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</si>
  <si>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</si>
  <si>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</si>
  <si>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</si>
  <si>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</si>
  <si>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</si>
  <si>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</si>
  <si>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</si>
  <si>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</si>
  <si>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</si>
  <si>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</si>
  <si>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</si>
  <si>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</si>
  <si>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</si>
  <si>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</si>
  <si>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</si>
  <si>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</si>
  <si>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</si>
  <si>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</si>
  <si>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</si>
  <si>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</si>
  <si>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</si>
  <si>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</si>
  <si>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</si>
  <si>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</si>
  <si>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</si>
  <si>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</si>
  <si>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</si>
  <si>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</si>
  <si>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</si>
  <si>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</si>
  <si>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</si>
  <si>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</si>
  <si>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</si>
  <si>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</si>
  <si>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</si>
  <si>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</si>
  <si>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</si>
  <si>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</si>
  <si>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</si>
  <si>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</si>
  <si>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</si>
  <si>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</si>
  <si>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</si>
  <si>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</si>
  <si>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</si>
  <si>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</si>
  <si>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</si>
  <si>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</si>
  <si>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</si>
  <si>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</si>
  <si>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</si>
  <si>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</si>
  <si>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</si>
  <si>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</si>
  <si>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</si>
  <si>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</si>
  <si>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</si>
  <si>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</si>
  <si>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</si>
  <si>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</si>
  <si>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</si>
  <si>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</si>
  <si>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</si>
  <si>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</si>
  <si>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</si>
  <si>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</si>
  <si>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</si>
  <si>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</si>
  <si>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</si>
  <si>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</si>
  <si>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</si>
  <si>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</si>
  <si>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</si>
  <si>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</si>
  <si>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</si>
  <si>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</si>
  <si>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</si>
  <si>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</si>
  <si>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</si>
  <si>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</si>
  <si>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</si>
  <si>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</si>
  <si>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</si>
  <si>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</si>
  <si>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</si>
  <si>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</si>
  <si>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</si>
  <si>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</si>
  <si>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</si>
  <si>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</si>
  <si>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</si>
  <si>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</si>
  <si>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</si>
  <si>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</si>
  <si>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</si>
  <si>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</si>
  <si>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</si>
  <si>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</si>
  <si>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</si>
  <si>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</si>
  <si>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</si>
  <si>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</si>
  <si>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</si>
  <si>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</si>
  <si>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</si>
  <si>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</si>
  <si>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</si>
  <si>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</si>
  <si>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</si>
  <si>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</si>
  <si>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</si>
  <si>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</si>
  <si>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</si>
  <si>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</si>
  <si>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</si>
  <si>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</si>
  <si>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</si>
  <si>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</si>
  <si>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</si>
  <si>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</si>
  <si>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</si>
  <si>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</si>
  <si>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</si>
  <si>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</si>
  <si>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</si>
  <si>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</si>
  <si>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</si>
  <si>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</si>
  <si>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</si>
  <si>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</si>
  <si>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</si>
  <si>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</si>
  <si>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</si>
  <si>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</si>
  <si>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</si>
  <si>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</si>
  <si>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</si>
  <si>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</si>
  <si>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</si>
  <si>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</si>
  <si>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</si>
  <si>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</si>
  <si>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</si>
  <si>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</si>
  <si>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</si>
  <si>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</si>
  <si>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</si>
  <si>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</si>
  <si>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</si>
  <si>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</si>
  <si>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</si>
  <si>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</si>
  <si>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</si>
  <si>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</si>
  <si>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</si>
  <si>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</si>
  <si>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</si>
  <si>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</si>
  <si>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</si>
  <si>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</si>
  <si>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</si>
  <si>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</si>
  <si>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</si>
  <si>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</si>
  <si>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</si>
  <si>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</si>
  <si>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</si>
  <si>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</si>
  <si>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</si>
  <si>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</si>
  <si>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</si>
  <si>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</si>
  <si>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</si>
  <si>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</si>
  <si>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</si>
  <si>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</si>
  <si>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</si>
  <si>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</si>
  <si>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</si>
  <si>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</si>
  <si>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</si>
  <si>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</si>
  <si>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</si>
  <si>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</si>
  <si>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</si>
  <si>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</si>
  <si>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</si>
  <si>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</si>
  <si>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</si>
  <si>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</si>
  <si>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</si>
  <si>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</si>
  <si>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</si>
  <si>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</si>
  <si>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</si>
  <si>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</si>
  <si>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</si>
  <si>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</si>
  <si>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</si>
  <si>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</si>
  <si>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</si>
  <si>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</si>
  <si>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</si>
  <si>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</si>
  <si>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</si>
  <si>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</si>
  <si>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</si>
  <si>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</si>
  <si>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</si>
  <si>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</si>
  <si>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</si>
  <si>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</si>
  <si>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</si>
  <si>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</si>
  <si>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</si>
  <si>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</si>
  <si>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</si>
  <si>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</si>
  <si>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</si>
  <si>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</si>
  <si>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</si>
  <si>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</si>
  <si>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</si>
  <si>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</si>
  <si>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</si>
  <si>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</si>
  <si>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</si>
  <si>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</si>
  <si>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</si>
  <si>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</si>
  <si>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</si>
  <si>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</si>
  <si>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</si>
  <si>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</si>
  <si>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</si>
  <si>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</si>
  <si>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</si>
  <si>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</si>
  <si>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</si>
  <si>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</si>
  <si>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</si>
  <si>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</si>
  <si>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</si>
  <si>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</si>
  <si>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</si>
  <si>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</si>
  <si>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</si>
  <si>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</si>
  <si>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</si>
  <si>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</si>
  <si>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</si>
  <si>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</si>
  <si>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</si>
  <si>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</si>
  <si>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</si>
  <si>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</si>
  <si>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</si>
  <si>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</si>
  <si>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</si>
  <si>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</si>
  <si>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</si>
  <si>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</si>
  <si>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</si>
  <si>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</si>
  <si>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</si>
  <si>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</si>
  <si>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</si>
  <si>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</si>
  <si>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</si>
  <si>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</si>
  <si>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</si>
  <si>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</si>
  <si>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</si>
  <si>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</si>
  <si>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</si>
  <si>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</si>
  <si>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</si>
  <si>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</si>
  <si>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</si>
  <si>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</si>
  <si>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</si>
  <si>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</si>
  <si>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</si>
  <si>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</si>
  <si>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</si>
  <si>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</si>
  <si>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</si>
  <si>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</si>
  <si>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</si>
  <si>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</si>
  <si>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</si>
  <si>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</si>
  <si>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</si>
  <si>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</si>
  <si>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</si>
  <si>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</si>
  <si>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</si>
  <si>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</si>
  <si>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</si>
  <si>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</si>
  <si>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</si>
  <si>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</si>
  <si>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</si>
  <si>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</si>
  <si>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</si>
  <si>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</si>
  <si>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</si>
  <si>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</si>
  <si>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</si>
  <si>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</si>
  <si>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</si>
  <si>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</si>
  <si>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</si>
  <si>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</si>
  <si>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</si>
  <si>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</si>
  <si>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</si>
  <si>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</si>
  <si>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</si>
  <si>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</si>
  <si>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</si>
  <si>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</si>
  <si>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</si>
  <si>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</si>
  <si>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</si>
  <si>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</si>
  <si>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</si>
  <si>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</si>
  <si>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</si>
  <si>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</si>
  <si>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</si>
  <si>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</si>
  <si>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</si>
  <si>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</si>
  <si>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</si>
  <si>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</si>
  <si>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</si>
  <si>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</si>
  <si>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</si>
  <si>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</si>
  <si>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</si>
  <si>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</si>
  <si>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</si>
  <si>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</si>
  <si>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</si>
  <si>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</si>
  <si>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</si>
  <si>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</si>
  <si>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</si>
  <si>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</si>
  <si>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</si>
  <si>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</si>
  <si>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</si>
  <si>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</si>
  <si>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</si>
  <si>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</si>
  <si>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</si>
  <si>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</si>
  <si>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</si>
  <si>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</si>
  <si>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</si>
  <si>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</si>
  <si>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</si>
  <si>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</si>
  <si>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</si>
  <si>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</si>
  <si>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</si>
  <si>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</si>
  <si>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</si>
  <si>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</si>
  <si>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</si>
  <si>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</si>
  <si>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</si>
  <si>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</si>
  <si>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</si>
  <si>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</si>
  <si>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</si>
  <si>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</si>
  <si>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</si>
  <si>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</si>
  <si>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</si>
  <si>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</si>
  <si>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</si>
  <si>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</si>
  <si>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</si>
  <si>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</si>
  <si>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</si>
  <si>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</si>
  <si>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</si>
  <si>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</si>
  <si>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</si>
  <si>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</si>
  <si>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</si>
  <si>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</si>
  <si>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</si>
  <si>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</si>
  <si>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</si>
  <si>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</si>
  <si>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</si>
  <si>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</si>
  <si>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</si>
  <si>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</si>
  <si>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</si>
  <si>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</si>
  <si>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</si>
  <si>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</si>
  <si>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</si>
  <si>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</si>
  <si>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</si>
  <si>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</si>
  <si>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</si>
  <si>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</si>
  <si>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</si>
  <si>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</si>
  <si>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</si>
  <si>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</si>
  <si>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</si>
  <si>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</si>
  <si>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</si>
  <si>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</si>
  <si>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</si>
  <si>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</si>
  <si>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</si>
  <si>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</si>
  <si>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</si>
  <si>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</si>
  <si>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</si>
  <si>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</si>
  <si>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</si>
  <si>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</si>
  <si>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</si>
  <si>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</si>
  <si>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</si>
  <si>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</si>
  <si>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</si>
  <si>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</si>
  <si>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</si>
  <si>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</si>
  <si>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</si>
  <si>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</si>
  <si>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</si>
  <si>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</si>
  <si>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</si>
  <si>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</si>
  <si>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</si>
  <si>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</si>
  <si>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</si>
  <si>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</si>
  <si>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</si>
  <si>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</si>
  <si>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</si>
  <si>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</si>
  <si>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</si>
  <si>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</si>
  <si>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</si>
  <si>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</si>
  <si>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</si>
  <si>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</si>
  <si>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</si>
  <si>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</si>
  <si>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</si>
  <si>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</si>
  <si>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</si>
  <si>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</si>
  <si>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</si>
  <si>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</si>
  <si>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</si>
  <si>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</si>
  <si>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</si>
  <si>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</si>
  <si>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</si>
  <si>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</si>
  <si>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</si>
  <si>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</si>
  <si>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</si>
  <si>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</si>
  <si>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</si>
  <si>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</si>
  <si>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</si>
  <si>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</si>
  <si>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</si>
  <si>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</si>
  <si>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</si>
  <si>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</si>
  <si>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</si>
  <si>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</si>
  <si>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</si>
  <si>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</si>
  <si>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</si>
  <si>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</si>
  <si>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</si>
  <si>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</si>
  <si>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</si>
  <si>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</si>
  <si>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</si>
  <si>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</si>
  <si>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</si>
  <si>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</si>
  <si>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</si>
  <si>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</si>
  <si>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</si>
  <si>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</si>
  <si>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</si>
  <si>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</si>
  <si>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</si>
  <si>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</si>
  <si>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</si>
  <si>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</si>
  <si>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</si>
  <si>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</si>
  <si>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</si>
  <si>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</si>
  <si>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</si>
  <si>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</si>
  <si>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</si>
  <si>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</si>
  <si>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</si>
  <si>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</si>
  <si>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</si>
  <si>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</si>
  <si>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</si>
  <si>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</si>
  <si>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</si>
  <si>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</si>
  <si>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</si>
  <si>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</si>
  <si>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</si>
  <si>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</si>
  <si>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</si>
  <si>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</si>
  <si>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</si>
  <si>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</si>
  <si>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</si>
  <si>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</si>
  <si>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</si>
  <si>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</si>
  <si>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</si>
  <si>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</si>
  <si>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</si>
  <si>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</si>
  <si>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</si>
  <si>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</si>
  <si>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</si>
  <si>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</si>
  <si>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</si>
  <si>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</si>
  <si>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</si>
  <si>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</si>
  <si>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</si>
  <si>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</si>
  <si>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</si>
  <si>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</si>
  <si>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</si>
  <si>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</si>
  <si>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</si>
  <si>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</si>
  <si>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</si>
  <si>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</si>
  <si>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</si>
  <si>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</si>
  <si>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</si>
  <si>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</si>
  <si>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</si>
  <si>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</si>
  <si>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</si>
  <si>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</si>
  <si>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</si>
  <si>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</si>
  <si>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</si>
  <si>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</si>
  <si>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</si>
  <si>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</si>
  <si>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</si>
  <si>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</si>
  <si>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</si>
  <si>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</si>
  <si>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</si>
  <si>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</si>
  <si>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</si>
  <si>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</si>
  <si>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</si>
  <si>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</si>
  <si>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</si>
  <si>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</si>
  <si>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</si>
  <si>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</si>
  <si>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</si>
  <si>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</si>
  <si>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</si>
  <si>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</si>
  <si>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</si>
  <si>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</si>
  <si>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</si>
  <si>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</si>
  <si>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</si>
  <si>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</si>
  <si>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</si>
  <si>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</si>
  <si>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</si>
  <si>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</si>
  <si>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</si>
  <si>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</si>
  <si>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</si>
  <si>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</si>
  <si>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</si>
  <si>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</si>
  <si>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</si>
  <si>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</si>
  <si>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</si>
  <si>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</si>
  <si>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</si>
  <si>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</si>
  <si>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</si>
  <si>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</si>
  <si>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</si>
  <si>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</si>
  <si>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</si>
  <si>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</si>
  <si>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</si>
  <si>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</si>
  <si>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</si>
  <si>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</si>
  <si>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</si>
  <si>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</si>
  <si>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</si>
  <si>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</si>
  <si>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</si>
  <si>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</si>
  <si>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</si>
  <si>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</si>
  <si>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</si>
  <si>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</si>
  <si>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</si>
  <si>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</si>
  <si>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</si>
  <si>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</si>
  <si>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</si>
  <si>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</si>
  <si>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</si>
  <si>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</si>
  <si>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</si>
  <si>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</si>
  <si>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</si>
  <si>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</si>
  <si>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</si>
  <si>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</si>
  <si>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</si>
  <si>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</si>
  <si>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</si>
  <si>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</si>
  <si>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</si>
  <si>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</si>
  <si>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</si>
  <si>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</si>
  <si>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</si>
  <si>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</si>
  <si>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</si>
  <si>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</si>
  <si>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</si>
  <si>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</si>
  <si>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</si>
  <si>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</si>
  <si>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</si>
  <si>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</si>
  <si>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</si>
  <si>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</si>
  <si>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</si>
  <si>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</si>
  <si>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</si>
  <si>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</si>
  <si>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</si>
  <si>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</si>
  <si>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</si>
  <si>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</si>
  <si>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</si>
  <si>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</si>
  <si>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</si>
  <si>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</si>
  <si>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</si>
  <si>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</si>
  <si>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</si>
  <si>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</si>
  <si>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</si>
  <si>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</si>
  <si>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</si>
  <si>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</si>
  <si>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</si>
  <si>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</si>
  <si>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</si>
  <si>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</si>
  <si>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</si>
  <si>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</si>
  <si>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</si>
  <si>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</si>
  <si>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</si>
  <si>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</si>
  <si>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</si>
  <si>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</si>
  <si>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</si>
  <si>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</si>
  <si>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</si>
  <si>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</si>
  <si>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</si>
  <si>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</si>
  <si>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</si>
  <si>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</si>
  <si>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</si>
  <si>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</si>
  <si>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</si>
  <si>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</si>
  <si>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</si>
  <si>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</si>
  <si>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</si>
  <si>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</si>
  <si>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</si>
  <si>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</si>
  <si>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</si>
  <si>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</si>
  <si>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</si>
  <si>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</si>
  <si>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</si>
  <si>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</si>
  <si>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</si>
  <si>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</si>
  <si>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</si>
  <si>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</si>
  <si>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</si>
  <si>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</si>
  <si>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</si>
  <si>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</si>
  <si>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</si>
  <si>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</si>
  <si>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</si>
  <si>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</si>
  <si>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</si>
  <si>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</si>
  <si>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</si>
  <si>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</si>
  <si>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</si>
  <si>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</si>
  <si>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</si>
  <si>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</si>
  <si>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</si>
  <si>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</si>
  <si>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</si>
  <si>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</si>
  <si>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</si>
  <si>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</si>
  <si>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</si>
  <si>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</si>
  <si>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</si>
  <si>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</si>
  <si>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</si>
  <si>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</si>
  <si>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</si>
  <si>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</si>
  <si>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</si>
  <si>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</si>
  <si>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</si>
  <si>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</si>
  <si>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</si>
  <si>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</si>
  <si>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</si>
  <si>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</si>
  <si>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</si>
  <si>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</si>
  <si>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</si>
  <si>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</si>
  <si>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</si>
  <si>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</si>
  <si>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</si>
  <si>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</si>
  <si>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</si>
  <si>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</si>
  <si>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</si>
  <si>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</si>
  <si>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</si>
  <si>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</si>
  <si>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</si>
  <si>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</si>
  <si>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</si>
  <si>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</si>
  <si>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</si>
  <si>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</si>
  <si>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</si>
  <si>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</si>
  <si>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</si>
  <si>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</si>
  <si>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</si>
  <si>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</si>
  <si>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</si>
  <si>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</si>
  <si>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</si>
  <si>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</si>
  <si>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</si>
  <si>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</si>
  <si>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</si>
  <si>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</si>
  <si>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</si>
  <si>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</si>
  <si>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</si>
  <si>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</si>
  <si>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</si>
  <si>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</si>
  <si>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</si>
  <si>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</si>
  <si>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</si>
  <si>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</si>
  <si>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</si>
  <si>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</si>
  <si>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</si>
  <si>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</si>
  <si>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</si>
  <si>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</si>
  <si>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</si>
  <si>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</si>
  <si>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</si>
  <si>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</si>
  <si>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</si>
  <si>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</si>
  <si>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</si>
  <si>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</si>
  <si>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</si>
  <si>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</si>
  <si>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</si>
  <si>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</si>
  <si>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</si>
  <si>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</si>
  <si>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</si>
  <si>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</si>
  <si>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</si>
  <si>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</si>
  <si>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</si>
  <si>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</si>
  <si>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</si>
  <si>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</si>
  <si>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</si>
  <si>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</si>
  <si>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</si>
  <si>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</si>
  <si>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</si>
  <si>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</si>
  <si>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</si>
  <si>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</si>
  <si>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</si>
  <si>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</si>
  <si>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</si>
  <si>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</si>
  <si>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</si>
  <si>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</si>
  <si>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</si>
  <si>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</si>
  <si>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</si>
  <si>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</si>
  <si>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</si>
  <si>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</si>
  <si>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</si>
  <si>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</si>
  <si>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</si>
  <si>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</si>
  <si>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</si>
  <si>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</si>
  <si>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</si>
  <si>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</si>
  <si>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</si>
  <si>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</si>
  <si>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</si>
  <si>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</si>
  <si>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</si>
  <si>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</si>
  <si>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</si>
  <si>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</si>
  <si>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</si>
  <si>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</si>
  <si>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</si>
  <si>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</si>
  <si>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</si>
  <si>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</si>
  <si>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</si>
  <si>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</si>
  <si>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</si>
  <si>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</si>
  <si>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</si>
  <si>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</si>
  <si>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</si>
  <si>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</si>
  <si>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</si>
  <si>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</si>
  <si>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</si>
  <si>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</si>
  <si>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</si>
  <si>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</si>
  <si>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</si>
  <si>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</si>
  <si>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</si>
  <si>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</si>
  <si>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</si>
  <si>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</si>
  <si>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</si>
  <si>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</si>
  <si>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</si>
  <si>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</si>
  <si>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</si>
  <si>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</si>
  <si>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</si>
  <si>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</si>
  <si>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</si>
  <si>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</si>
  <si>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</si>
  <si>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</si>
  <si>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</si>
  <si>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</si>
  <si>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</si>
  <si>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</si>
  <si>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</si>
  <si>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</si>
  <si>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</si>
  <si>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</si>
  <si>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</si>
  <si>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</si>
  <si>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</si>
  <si>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</si>
  <si>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</si>
  <si>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</si>
  <si>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</si>
  <si>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</si>
  <si>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</si>
  <si>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</si>
  <si>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</si>
  <si>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</si>
  <si>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</si>
  <si>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</si>
  <si>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</si>
  <si>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</si>
  <si>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</si>
  <si>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</si>
  <si>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</si>
  <si>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</si>
  <si>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</si>
  <si>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</si>
  <si>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</si>
  <si>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</si>
  <si>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</si>
  <si>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</si>
  <si>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</si>
  <si>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</si>
  <si>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</si>
  <si>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</si>
  <si>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</si>
  <si>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</si>
  <si>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</si>
  <si>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</si>
  <si>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</si>
  <si>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</si>
  <si>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</si>
  <si>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</si>
  <si>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</si>
  <si>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</si>
  <si>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</si>
  <si>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</si>
  <si>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</si>
  <si>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</si>
  <si>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</si>
  <si>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</si>
  <si>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</si>
  <si>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</si>
  <si>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</si>
  <si>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</si>
  <si>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</si>
  <si>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</si>
  <si>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</si>
  <si>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</si>
  <si>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</si>
  <si>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</si>
  <si>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</si>
  <si>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</si>
  <si>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</si>
  <si>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</si>
  <si>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</si>
  <si>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</si>
  <si>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</si>
  <si>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</si>
  <si>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</si>
  <si>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</si>
  <si>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</si>
  <si>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</si>
  <si>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</si>
  <si>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</si>
  <si>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</si>
  <si>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</si>
  <si>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</si>
  <si>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</si>
  <si>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</si>
  <si>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</si>
  <si>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</si>
  <si>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</si>
  <si>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</si>
  <si>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</si>
  <si>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</si>
  <si>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</si>
  <si>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</si>
  <si>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</si>
  <si>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</si>
  <si>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</si>
  <si>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</si>
  <si>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</si>
  <si>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</si>
  <si>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</si>
  <si>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</si>
  <si>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</si>
  <si>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</si>
  <si>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</si>
  <si>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</si>
  <si>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</si>
  <si>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</si>
  <si>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</si>
  <si>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</si>
  <si>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</si>
  <si>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</si>
  <si>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</si>
  <si>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</si>
  <si>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</si>
  <si>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</si>
  <si>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</si>
  <si>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</si>
  <si>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</si>
  <si>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</si>
  <si>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</si>
  <si>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</si>
  <si>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</si>
  <si>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</si>
  <si>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</si>
  <si>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</si>
  <si>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</si>
  <si>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</si>
  <si>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</si>
  <si>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</si>
  <si>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</si>
  <si>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</si>
  <si>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</si>
  <si>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</si>
  <si>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</si>
  <si>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</si>
  <si>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</si>
  <si>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</si>
  <si>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</si>
  <si>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</si>
  <si>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</si>
  <si>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</si>
  <si>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</si>
  <si>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</si>
  <si>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</si>
  <si>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</si>
  <si>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</si>
  <si>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</si>
  <si>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</si>
  <si>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</si>
  <si>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</si>
  <si>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</si>
  <si>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</si>
  <si>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</si>
  <si>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</si>
  <si>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</si>
  <si>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</si>
  <si>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</si>
  <si>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</si>
  <si>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</si>
  <si>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</si>
  <si>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</si>
  <si>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</si>
  <si>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</si>
  <si>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</si>
  <si>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</si>
  <si>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</si>
  <si>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</si>
  <si>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</si>
  <si>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</si>
  <si>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</si>
  <si>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</si>
  <si>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</si>
  <si>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</si>
  <si>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</si>
  <si>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</si>
  <si>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</si>
  <si>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</si>
  <si>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</si>
  <si>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</si>
  <si>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</si>
  <si>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</si>
  <si>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</si>
  <si>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</si>
  <si>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</si>
  <si>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</si>
  <si>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</si>
  <si>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</si>
  <si>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</si>
  <si>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</si>
  <si>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</si>
  <si>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</si>
  <si>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</si>
  <si>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</si>
  <si>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</si>
  <si>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</si>
  <si>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</si>
  <si>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</si>
  <si>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</si>
  <si>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</si>
  <si>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</si>
  <si>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</si>
  <si>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</si>
  <si>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</si>
  <si>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</si>
  <si>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</si>
  <si>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</si>
  <si>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</si>
  <si>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</si>
  <si>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</si>
  <si>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</si>
  <si>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</si>
  <si>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</si>
  <si>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</si>
  <si>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</si>
  <si>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</si>
  <si>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</si>
  <si>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</si>
  <si>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</si>
  <si>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</si>
  <si>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</si>
  <si>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</si>
  <si>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</si>
  <si>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</si>
  <si>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</si>
  <si>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</si>
  <si>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</si>
  <si>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</si>
  <si>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</si>
  <si>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</si>
  <si>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</si>
  <si>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</si>
  <si>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</si>
  <si>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</si>
  <si>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</si>
  <si>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</si>
  <si>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</si>
  <si>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</si>
  <si>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</si>
  <si>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</si>
  <si>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</si>
  <si>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</si>
  <si>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</si>
  <si>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</si>
  <si>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</si>
  <si>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</si>
  <si>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</si>
  <si>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</si>
  <si>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</si>
  <si>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</si>
  <si>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</si>
  <si>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</si>
  <si>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</si>
  <si>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</si>
  <si>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</si>
  <si>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</si>
  <si>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</si>
  <si>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</si>
  <si>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</si>
  <si>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</si>
  <si>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</si>
  <si>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</si>
  <si>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</si>
  <si>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</si>
  <si>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</si>
  <si>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</si>
  <si>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</si>
  <si>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</si>
  <si>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</si>
  <si>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</si>
  <si>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</si>
  <si>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</si>
  <si>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</si>
  <si>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</si>
  <si>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</si>
  <si>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</si>
  <si>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</si>
  <si>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</si>
  <si>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</si>
  <si>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</si>
  <si>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</si>
  <si>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</si>
  <si>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</si>
  <si>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</si>
  <si>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</si>
  <si>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</si>
  <si>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</si>
  <si>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</si>
  <si>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</si>
  <si>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</si>
  <si>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</si>
  <si>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</si>
  <si>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</si>
  <si>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</si>
  <si>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</si>
  <si>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</si>
  <si>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</si>
  <si>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</si>
  <si>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</si>
  <si>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</si>
  <si>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</si>
  <si>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</si>
  <si>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</si>
  <si>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</si>
  <si>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</si>
  <si>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</si>
  <si>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</si>
  <si>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</si>
  <si>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</si>
  <si>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</si>
  <si>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</si>
  <si>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</si>
  <si>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</si>
  <si>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</si>
  <si>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</si>
  <si>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</si>
  <si>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</si>
  <si>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</si>
  <si>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</si>
  <si>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</si>
  <si>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</si>
  <si>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</si>
  <si>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</si>
  <si>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</si>
  <si>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</si>
  <si>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</si>
  <si>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</si>
  <si>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</si>
  <si>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</si>
  <si>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</si>
  <si>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</si>
  <si>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</si>
  <si>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</si>
  <si>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</si>
  <si>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</si>
  <si>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</si>
  <si>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</si>
  <si>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</si>
  <si>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</si>
  <si>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</si>
  <si>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</si>
  <si>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</si>
  <si>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</si>
  <si>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</si>
  <si>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</si>
  <si>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</si>
  <si>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</si>
  <si>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</si>
  <si>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</si>
  <si>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</si>
  <si>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</si>
  <si>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</si>
  <si>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</si>
  <si>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</si>
  <si>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</si>
  <si>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</si>
  <si>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</si>
  <si>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</si>
  <si>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</si>
  <si>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</si>
  <si>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</si>
  <si>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</si>
  <si>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</si>
  <si>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</si>
  <si>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</si>
  <si>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</si>
  <si>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</si>
  <si>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</si>
  <si>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</si>
  <si>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</si>
  <si>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</si>
  <si>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</si>
  <si>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</si>
  <si>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</si>
  <si>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</si>
  <si>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</si>
  <si>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</si>
  <si>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</si>
  <si>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</si>
  <si>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</si>
  <si>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</si>
  <si>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</si>
  <si>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</si>
  <si>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</si>
  <si>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</si>
  <si>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</si>
  <si>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</si>
  <si>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</si>
  <si>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</si>
  <si>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</si>
  <si>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</si>
  <si>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</si>
  <si>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</si>
  <si>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</si>
  <si>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</si>
  <si>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</si>
  <si>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</si>
  <si>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</si>
  <si>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</si>
  <si>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</si>
  <si>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</si>
  <si>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</si>
  <si>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</si>
  <si>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</si>
  <si>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</si>
  <si>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</si>
  <si>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</si>
  <si>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</si>
  <si>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</si>
  <si>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</si>
  <si>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</si>
  <si>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</si>
  <si>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</si>
  <si>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</si>
  <si>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</si>
  <si>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</si>
  <si>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</si>
  <si>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</si>
  <si>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</si>
  <si>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</si>
  <si>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</si>
  <si>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</si>
  <si>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</si>
  <si>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</si>
  <si>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</si>
  <si>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</si>
  <si>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</si>
  <si>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</si>
  <si>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</si>
  <si>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</si>
  <si>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</si>
  <si>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</si>
  <si>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</si>
  <si>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</si>
  <si>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</si>
  <si>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</si>
  <si>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</si>
  <si>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</si>
  <si>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</si>
  <si>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</si>
  <si>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</si>
  <si>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</si>
  <si>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</si>
  <si>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</si>
  <si>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</si>
  <si>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</si>
  <si>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</si>
  <si>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</si>
  <si>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</si>
  <si>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</si>
  <si>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</si>
  <si>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</si>
  <si>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</si>
  <si>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</si>
  <si>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</si>
  <si>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</si>
  <si>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</si>
  <si>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</si>
  <si>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</si>
  <si>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</si>
  <si>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</si>
  <si>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</si>
  <si>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</si>
  <si>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</si>
  <si>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</si>
  <si>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</si>
  <si>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</si>
  <si>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</si>
  <si>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</si>
  <si>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</si>
  <si>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</si>
  <si>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</si>
  <si>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</si>
  <si>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</si>
  <si>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</si>
  <si>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</si>
  <si>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</si>
  <si>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</si>
  <si>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</si>
  <si>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</si>
  <si>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</si>
  <si>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</si>
  <si>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</si>
  <si>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</si>
  <si>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</si>
  <si>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</si>
  <si>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</si>
  <si>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</si>
  <si>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</si>
  <si>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</si>
  <si>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</si>
  <si>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</si>
  <si>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</si>
  <si>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</si>
  <si>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</si>
  <si>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</si>
  <si>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</si>
  <si>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</si>
  <si>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</si>
  <si>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</si>
  <si>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</si>
  <si>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</si>
  <si>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</si>
  <si>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</si>
  <si>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</si>
  <si>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</si>
  <si>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</si>
  <si>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</si>
  <si>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</si>
  <si>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</si>
  <si>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</si>
  <si>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</si>
  <si>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</si>
  <si>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</si>
  <si>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</si>
  <si>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</si>
  <si>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</si>
  <si>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</si>
  <si>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</si>
  <si>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</si>
  <si>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</si>
  <si>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</si>
  <si>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</si>
  <si>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</si>
  <si>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</si>
  <si>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</si>
  <si>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</si>
  <si>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</si>
  <si>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</si>
  <si>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</si>
  <si>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</si>
  <si>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</si>
  <si>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</si>
  <si>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</si>
  <si>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</si>
  <si>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</si>
  <si>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</si>
  <si>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</si>
  <si>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</si>
  <si>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</si>
  <si>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</si>
  <si>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</si>
  <si>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</si>
  <si>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</si>
  <si>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</si>
  <si>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</si>
  <si>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</si>
  <si>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</si>
  <si>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</si>
  <si>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</si>
  <si>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</si>
  <si>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</si>
  <si>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</si>
  <si>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</si>
  <si>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</si>
  <si>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</si>
  <si>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</si>
  <si>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</si>
  <si>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</si>
  <si>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</si>
  <si>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</si>
  <si>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</si>
  <si>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</si>
  <si>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</si>
  <si>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</si>
  <si>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</si>
  <si>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</si>
  <si>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</si>
  <si>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</si>
  <si>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</si>
  <si>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</si>
  <si>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</si>
  <si>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</si>
  <si>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</si>
  <si>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</si>
  <si>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</si>
  <si>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</si>
  <si>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</si>
  <si>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</si>
  <si>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</si>
  <si>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</si>
  <si>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</si>
  <si>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</si>
  <si>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</si>
  <si>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</si>
  <si>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</si>
  <si>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</si>
  <si>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</si>
  <si>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</si>
  <si>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</si>
  <si>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</si>
  <si>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</si>
  <si>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</si>
  <si>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</si>
  <si>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</si>
  <si>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</si>
  <si>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</si>
  <si>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</si>
  <si>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</si>
  <si>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</si>
  <si>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</si>
  <si>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</si>
  <si>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</si>
  <si>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</si>
  <si>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</si>
  <si>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</si>
  <si>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</si>
  <si>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</si>
  <si>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</si>
  <si>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</si>
  <si>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</si>
  <si>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</si>
  <si>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</si>
  <si>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</si>
  <si>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</si>
  <si>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</si>
  <si>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</si>
  <si>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</si>
  <si>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</si>
  <si>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</si>
  <si>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</si>
  <si>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</si>
  <si>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</si>
  <si>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</si>
  <si>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</si>
  <si>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</si>
  <si>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</si>
  <si>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</si>
  <si>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</si>
  <si>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</si>
  <si>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</si>
  <si>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</si>
  <si>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</si>
  <si>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</si>
  <si>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</si>
  <si>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</si>
  <si>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</si>
  <si>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</si>
  <si>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</si>
  <si>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</si>
  <si>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</si>
  <si>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</si>
  <si>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</si>
  <si>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</si>
  <si>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</si>
  <si>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</si>
  <si>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</si>
  <si>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</si>
  <si>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</si>
  <si>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</si>
  <si>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</si>
  <si>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</si>
  <si>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</si>
  <si>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</si>
  <si>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</si>
  <si>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</si>
  <si>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</si>
  <si>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</si>
  <si>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</si>
  <si>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</si>
  <si>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</si>
  <si>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</si>
  <si>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</si>
  <si>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</si>
  <si>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</si>
  <si>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</si>
  <si>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</si>
  <si>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</si>
  <si>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</si>
  <si>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</si>
  <si>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</si>
  <si>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</si>
  <si>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</si>
  <si>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</si>
  <si>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</si>
  <si>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</si>
  <si>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</si>
  <si>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</si>
  <si>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</si>
  <si>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</si>
  <si>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</si>
  <si>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</si>
  <si>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</si>
  <si>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</si>
  <si>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</si>
  <si>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</si>
  <si>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</si>
  <si>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</si>
  <si>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</si>
  <si>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</si>
  <si>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</si>
  <si>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</si>
  <si>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</si>
  <si>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</si>
  <si>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</si>
  <si>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</si>
  <si>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</si>
  <si>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</si>
  <si>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</si>
  <si>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</si>
  <si>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</si>
  <si>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</si>
  <si>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</si>
  <si>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</si>
  <si>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</si>
  <si>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</si>
  <si>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</si>
  <si>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</si>
  <si>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</si>
  <si>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</si>
  <si>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</si>
  <si>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</si>
  <si>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</si>
  <si>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</si>
  <si>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</si>
  <si>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</si>
  <si>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</si>
  <si>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</si>
  <si>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</si>
  <si>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</si>
  <si>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</si>
  <si>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</si>
  <si>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</si>
  <si>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</si>
  <si>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</si>
  <si>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</si>
  <si>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</si>
  <si>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</si>
  <si>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</si>
  <si>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</si>
  <si>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</si>
  <si>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</si>
  <si>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</si>
  <si>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</si>
  <si>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</si>
  <si>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</si>
  <si>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</si>
  <si>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</si>
  <si>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</si>
  <si>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</si>
  <si>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</si>
  <si>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</si>
  <si>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</si>
  <si>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</si>
  <si>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</si>
  <si>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</si>
  <si>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</si>
  <si>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</si>
  <si>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</si>
  <si>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</si>
  <si>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</si>
  <si>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</si>
  <si>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</si>
  <si>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</si>
  <si>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</si>
  <si>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</si>
  <si>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</si>
  <si>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</si>
  <si>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</si>
  <si>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</si>
  <si>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</si>
  <si>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</si>
  <si>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</si>
  <si>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</si>
  <si>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</si>
  <si>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</si>
  <si>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</si>
  <si>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</si>
  <si>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</si>
  <si>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</si>
  <si>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</si>
  <si>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</si>
  <si>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</si>
  <si>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</si>
  <si>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</si>
  <si>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</si>
  <si>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</si>
  <si>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</si>
  <si>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</si>
  <si>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</si>
  <si>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</si>
  <si>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</si>
  <si>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</si>
  <si>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</si>
  <si>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</si>
  <si>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</si>
  <si>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</si>
  <si>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</si>
  <si>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</si>
  <si>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</si>
  <si>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</si>
  <si>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</si>
  <si>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</si>
  <si>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</si>
  <si>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</si>
  <si>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</si>
  <si>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</si>
  <si>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</si>
  <si>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</si>
  <si>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</si>
  <si>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</si>
  <si>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</si>
  <si>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</si>
  <si>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</si>
  <si>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</si>
  <si>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</si>
  <si>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</si>
  <si>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</si>
  <si>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</si>
  <si>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</si>
  <si>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</si>
  <si>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</si>
  <si>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</si>
  <si>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</si>
  <si>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</si>
  <si>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</si>
  <si>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</si>
  <si>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</si>
  <si>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</si>
  <si>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</si>
  <si>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</si>
  <si>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</si>
  <si>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</si>
  <si>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</si>
  <si>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</si>
  <si>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</si>
  <si>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</si>
  <si>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</si>
  <si>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</si>
  <si>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</si>
  <si>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</si>
  <si>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</si>
  <si>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</si>
  <si>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</si>
  <si>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</si>
  <si>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</si>
  <si>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</si>
  <si>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</si>
  <si>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</si>
  <si>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</si>
  <si>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</si>
  <si>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</si>
  <si>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</si>
  <si>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</si>
  <si>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</si>
  <si>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</si>
  <si>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</si>
  <si>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</si>
  <si>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</si>
  <si>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</si>
  <si>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</si>
  <si>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</si>
  <si>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</si>
  <si>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</si>
  <si>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</si>
  <si>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</si>
  <si>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</si>
  <si>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</si>
  <si>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</si>
  <si>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</si>
  <si>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</si>
  <si>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</si>
  <si>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</si>
  <si>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</si>
  <si>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</si>
  <si>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</si>
  <si>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</si>
  <si>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</si>
  <si>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</si>
  <si>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</si>
  <si>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</si>
  <si>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</si>
  <si>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</si>
  <si>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</si>
  <si>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</si>
  <si>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</si>
  <si>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</si>
  <si>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</si>
  <si>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</si>
  <si>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</si>
  <si>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</si>
  <si>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</si>
  <si>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</si>
  <si>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</si>
  <si>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</si>
  <si>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</si>
  <si>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</si>
  <si>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</si>
  <si>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</si>
  <si>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</si>
  <si>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</si>
  <si>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</si>
  <si>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</si>
  <si>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</si>
  <si>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</si>
  <si>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</si>
  <si>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</si>
  <si>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</si>
  <si>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</si>
  <si>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</si>
  <si>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</si>
  <si>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</si>
  <si>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</si>
  <si>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</si>
  <si>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</si>
  <si>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</si>
  <si>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</si>
  <si>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</si>
  <si>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</si>
  <si>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</si>
  <si>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</si>
  <si>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</si>
  <si>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</si>
  <si>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</si>
  <si>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</si>
  <si>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</si>
  <si>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</si>
  <si>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</si>
  <si>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</si>
  <si>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</si>
  <si>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</si>
  <si>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</si>
  <si>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</si>
  <si>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</si>
  <si>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</si>
  <si>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</si>
  <si>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</si>
  <si>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</si>
  <si>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</si>
  <si>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</si>
  <si>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</si>
  <si>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</si>
  <si>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</si>
  <si>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</si>
  <si>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</si>
  <si>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</si>
  <si>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</si>
  <si>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</si>
  <si>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</si>
  <si>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</si>
  <si>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</si>
  <si>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</si>
  <si>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</si>
  <si>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</si>
  <si>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</si>
  <si>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</si>
  <si>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</si>
  <si>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</si>
  <si>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</si>
  <si>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</si>
  <si>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</si>
  <si>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</si>
  <si>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</si>
  <si>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</si>
  <si>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</si>
  <si>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</si>
  <si>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</si>
  <si>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</si>
  <si>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</si>
  <si>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</si>
  <si>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</si>
  <si>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</si>
  <si>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</si>
  <si>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</si>
  <si>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</si>
  <si>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</si>
  <si>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</si>
  <si>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</si>
  <si>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</si>
  <si>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</si>
  <si>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</si>
  <si>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</si>
  <si>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</si>
  <si>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</si>
  <si>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</si>
  <si>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</si>
  <si>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</si>
  <si>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</si>
  <si>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</si>
  <si>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</si>
  <si>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</si>
  <si>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</si>
  <si>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</si>
  <si>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</si>
  <si>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</si>
  <si>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</si>
  <si>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</si>
  <si>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</si>
  <si>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</si>
  <si>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</si>
  <si>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</si>
  <si>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</si>
  <si>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</si>
  <si>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</si>
  <si>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</si>
  <si>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</si>
  <si>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</si>
  <si>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</si>
  <si>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</si>
  <si>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</si>
  <si>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</si>
  <si>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</si>
  <si>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</si>
  <si>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</si>
  <si>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</si>
  <si>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</si>
  <si>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</si>
  <si>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</si>
  <si>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</si>
  <si>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</si>
  <si>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</si>
  <si>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</si>
  <si>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</si>
  <si>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</si>
  <si>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</si>
  <si>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</si>
  <si>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</si>
  <si>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</si>
  <si>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</si>
  <si>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</si>
  <si>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</si>
  <si>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</si>
  <si>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</si>
  <si>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</si>
  <si>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</si>
  <si>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</si>
  <si>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</si>
  <si>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</si>
  <si>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</si>
  <si>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</si>
  <si>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</si>
  <si>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</si>
  <si>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</si>
  <si>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</si>
  <si>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</si>
  <si>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</si>
  <si>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</si>
  <si>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</si>
  <si>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</si>
  <si>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</si>
  <si>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</si>
  <si>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</si>
  <si>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</si>
  <si>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</si>
  <si>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</si>
  <si>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</si>
  <si>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</si>
  <si>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</si>
  <si>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</si>
  <si>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</si>
  <si>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</si>
  <si>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</si>
  <si>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</si>
  <si>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</si>
  <si>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</si>
  <si>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</si>
  <si>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</si>
  <si>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</si>
  <si>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</si>
  <si>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</si>
  <si>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</si>
  <si>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</si>
  <si>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</si>
  <si>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</si>
  <si>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</si>
  <si>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</si>
  <si>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</si>
  <si>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</si>
  <si>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</si>
  <si>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</si>
  <si>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</si>
  <si>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</si>
  <si>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</si>
  <si>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</si>
  <si>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</si>
  <si>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</si>
  <si>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</si>
  <si>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</si>
  <si>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</si>
  <si>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</si>
  <si>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</si>
  <si>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</si>
  <si>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</si>
  <si>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</si>
  <si>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</si>
  <si>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</si>
  <si>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</si>
  <si>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</si>
  <si>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</si>
  <si>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</si>
  <si>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</si>
  <si>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</si>
  <si>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</si>
  <si>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</si>
  <si>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</si>
  <si>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</si>
  <si>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</si>
  <si>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</si>
  <si>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</si>
  <si>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</si>
  <si>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</si>
  <si>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</si>
  <si>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</si>
  <si>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</si>
  <si>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</si>
  <si>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</si>
  <si>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</si>
  <si>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</si>
  <si>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</si>
  <si>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</si>
  <si>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</si>
  <si>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</si>
  <si>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</si>
  <si>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</si>
  <si>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</si>
  <si>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</si>
  <si>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</si>
  <si>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</si>
  <si>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</si>
  <si>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</si>
  <si>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</si>
  <si>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</si>
  <si>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</si>
  <si>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</si>
  <si>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</si>
  <si>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</si>
  <si>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</si>
  <si>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</si>
  <si>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</si>
  <si>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</si>
  <si>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</si>
  <si>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</si>
  <si>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</si>
  <si>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</si>
  <si>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</si>
  <si>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</si>
  <si>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</si>
  <si>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</si>
  <si>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</si>
  <si>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</si>
  <si>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</si>
  <si>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</si>
  <si>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</si>
  <si>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</si>
  <si>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</si>
  <si>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</si>
  <si>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</si>
  <si>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</si>
  <si>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</si>
  <si>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</si>
  <si>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</si>
  <si>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</si>
  <si>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</si>
  <si>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</si>
  <si>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</si>
  <si>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</si>
  <si>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</si>
  <si>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</si>
  <si>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</si>
  <si>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</si>
  <si>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</si>
  <si>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</si>
  <si>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</si>
  <si>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</si>
  <si>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</si>
  <si>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</si>
  <si>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</si>
  <si>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</si>
  <si>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</si>
  <si>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</si>
  <si>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</si>
  <si>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</si>
  <si>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</si>
  <si>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</si>
  <si>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</si>
  <si>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</si>
  <si>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</si>
  <si>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</si>
  <si>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</si>
  <si>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</si>
  <si>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</si>
  <si>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</si>
  <si>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</si>
  <si>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</si>
  <si>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</si>
  <si>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</si>
  <si>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</si>
  <si>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</si>
  <si>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</si>
  <si>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</si>
  <si>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</si>
  <si>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</si>
  <si>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</si>
  <si>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</si>
  <si>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</si>
  <si>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</si>
  <si>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</si>
  <si>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</si>
  <si>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</si>
  <si>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</si>
  <si>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</si>
  <si>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</si>
  <si>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</si>
  <si>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</si>
  <si>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</si>
  <si>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</si>
  <si>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</si>
  <si>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</si>
  <si>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</si>
  <si>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</si>
  <si>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</si>
  <si>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</si>
  <si>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</si>
  <si>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</si>
  <si>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</si>
  <si>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</si>
  <si>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</si>
  <si>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</si>
  <si>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</si>
  <si>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</si>
  <si>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</si>
  <si>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</si>
  <si>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</si>
  <si>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</si>
  <si>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</si>
  <si>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</si>
  <si>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</si>
  <si>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</si>
  <si>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</si>
  <si>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</si>
  <si>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</si>
  <si>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</si>
  <si>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</si>
  <si>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</si>
  <si>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</si>
  <si>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</si>
  <si>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</si>
  <si>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</si>
  <si>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</si>
  <si>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</si>
  <si>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</si>
  <si>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</si>
  <si>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</si>
  <si>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</si>
  <si>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</si>
  <si>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</si>
  <si>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</si>
  <si>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</si>
  <si>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</si>
  <si>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</si>
  <si>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</si>
  <si>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</si>
  <si>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</si>
  <si>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</si>
  <si>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</si>
  <si>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</si>
  <si>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</si>
  <si>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</si>
  <si>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</si>
  <si>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</si>
  <si>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</si>
  <si>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</si>
  <si>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</si>
  <si>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</si>
  <si>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</si>
  <si>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</si>
  <si>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</si>
  <si>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</si>
  <si>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</si>
  <si>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</si>
  <si>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</si>
  <si>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</si>
  <si>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</si>
  <si>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</si>
  <si>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</si>
  <si>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</si>
  <si>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</si>
  <si>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</si>
  <si>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</si>
  <si>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</si>
  <si>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</si>
  <si>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</si>
  <si>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</si>
  <si>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</si>
  <si>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</si>
  <si>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</si>
  <si>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</si>
  <si>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</si>
  <si>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</si>
  <si>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</si>
  <si>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</si>
  <si>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</si>
  <si>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</si>
  <si>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</si>
  <si>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</si>
  <si>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</si>
  <si>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</si>
  <si>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</si>
  <si>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</si>
  <si>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</si>
  <si>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</si>
  <si>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</si>
  <si>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</si>
  <si>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</si>
  <si>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</si>
  <si>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</si>
  <si>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</si>
  <si>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</si>
  <si>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</si>
  <si>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</si>
  <si>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</si>
  <si>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</si>
  <si>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</si>
  <si>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</si>
  <si>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</si>
  <si>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</si>
  <si>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</si>
  <si>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</si>
  <si>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</si>
  <si>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</si>
  <si>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</si>
  <si>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</si>
  <si>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</si>
  <si>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</si>
  <si>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</si>
  <si>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</si>
  <si>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</si>
  <si>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</si>
  <si>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</si>
  <si>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</si>
  <si>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</si>
  <si>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</si>
  <si>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</si>
  <si>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</si>
  <si>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</si>
  <si>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</si>
  <si>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</si>
  <si>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</si>
  <si>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</si>
  <si>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</si>
  <si>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</si>
  <si>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</si>
  <si>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</si>
  <si>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</si>
  <si>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</si>
  <si>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</si>
  <si>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</si>
  <si>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</si>
  <si>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</si>
  <si>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</si>
  <si>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</si>
  <si>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</si>
  <si>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</si>
  <si>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</si>
  <si>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</si>
  <si>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</si>
  <si>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</si>
  <si>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</si>
  <si>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</si>
  <si>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</si>
  <si>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</si>
  <si>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</si>
  <si>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</si>
  <si>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</si>
  <si>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</si>
  <si>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</si>
  <si>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</si>
  <si>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</si>
  <si>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</si>
  <si>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</si>
  <si>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</si>
  <si>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</si>
  <si>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</si>
  <si>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</si>
  <si>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</si>
  <si>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</si>
  <si>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</si>
  <si>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</si>
  <si>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</si>
  <si>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</si>
  <si>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</si>
  <si>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</si>
  <si>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</si>
  <si>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</si>
  <si>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</si>
  <si>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</si>
  <si>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</si>
  <si>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</si>
  <si>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</si>
  <si>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</si>
  <si>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</si>
  <si>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</si>
  <si>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</si>
  <si>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</si>
  <si>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</si>
  <si>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</si>
  <si>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</si>
  <si>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</si>
  <si>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</si>
  <si>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</si>
  <si>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</si>
  <si>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</si>
  <si>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</si>
  <si>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</si>
  <si>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</si>
  <si>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</si>
  <si>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</si>
  <si>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</si>
  <si>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</si>
  <si>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</si>
  <si>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</si>
  <si>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</si>
  <si>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</si>
  <si>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</si>
  <si>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</si>
  <si>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</si>
  <si>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</si>
  <si>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</si>
  <si>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</si>
  <si>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</si>
  <si>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</si>
  <si>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</si>
  <si>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</si>
  <si>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</si>
  <si>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</si>
  <si>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</si>
  <si>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</si>
  <si>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</si>
  <si>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</si>
  <si>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</si>
  <si>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</si>
  <si>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</si>
  <si>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</si>
  <si>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</si>
  <si>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</si>
  <si>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</si>
  <si>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</si>
  <si>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</si>
  <si>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</si>
  <si>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</si>
  <si>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</si>
  <si>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</si>
  <si>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</si>
  <si>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</si>
  <si>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</si>
  <si>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</si>
  <si>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</si>
  <si>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</si>
  <si>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</si>
  <si>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</si>
  <si>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</si>
  <si>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</si>
  <si>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</si>
  <si>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</si>
  <si>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</si>
  <si>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</si>
  <si>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</si>
  <si>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</si>
  <si>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</si>
  <si>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</si>
  <si>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</si>
  <si>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</si>
  <si>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</si>
  <si>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</si>
  <si>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</si>
  <si>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</si>
  <si>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</si>
  <si>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</si>
  <si>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</si>
  <si>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</si>
  <si>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</si>
  <si>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</si>
  <si>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</si>
  <si>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</si>
  <si>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</si>
  <si>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</si>
  <si>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</si>
  <si>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</si>
  <si>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</si>
  <si>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</si>
  <si>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</si>
  <si>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</si>
  <si>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</si>
  <si>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</si>
  <si>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</si>
  <si>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</si>
  <si>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</si>
  <si>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</si>
  <si>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</si>
  <si>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</si>
  <si>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</si>
  <si>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</si>
  <si>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</si>
  <si>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</si>
  <si>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</si>
  <si>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</si>
  <si>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</si>
  <si>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</si>
  <si>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</si>
  <si>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</si>
  <si>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</si>
  <si>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</si>
  <si>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</si>
  <si>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</si>
  <si>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</si>
  <si>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</si>
  <si>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</si>
  <si>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</si>
  <si>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</si>
  <si>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</si>
  <si>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</si>
  <si>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</si>
  <si>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</si>
  <si>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</si>
  <si>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</si>
  <si>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</si>
  <si>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</si>
  <si>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</si>
  <si>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</si>
  <si>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</si>
  <si>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</si>
  <si>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</si>
  <si>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</si>
  <si>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</si>
  <si>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</si>
  <si>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</si>
  <si>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</si>
  <si>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</si>
  <si>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</si>
  <si>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</si>
  <si>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</si>
  <si>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</si>
  <si>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</si>
  <si>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</si>
  <si>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</si>
  <si>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</si>
  <si>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</si>
  <si>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</si>
  <si>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</si>
  <si>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</si>
  <si>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</si>
  <si>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</si>
  <si>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</si>
  <si>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</si>
  <si>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</si>
  <si>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</si>
  <si>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</si>
  <si>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</si>
  <si>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</si>
  <si>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</si>
  <si>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</si>
  <si>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</si>
  <si>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</si>
  <si>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</si>
  <si>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</si>
  <si>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</si>
  <si>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</si>
  <si>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</si>
  <si>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</si>
  <si>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</si>
  <si>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</si>
  <si>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</si>
  <si>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</si>
  <si>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</si>
  <si>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</si>
  <si>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</si>
  <si>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</si>
  <si>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</si>
  <si>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</si>
  <si>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</si>
  <si>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</si>
  <si>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</si>
  <si>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</si>
  <si>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</si>
  <si>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</si>
  <si>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</si>
  <si>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</si>
  <si>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</si>
  <si>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</si>
  <si>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</si>
  <si>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</si>
  <si>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</si>
  <si>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</si>
  <si>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</si>
  <si>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</si>
  <si>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</si>
  <si>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</si>
  <si>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</si>
  <si>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</si>
  <si>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</si>
  <si>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</si>
  <si>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</si>
  <si>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</si>
  <si>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</si>
  <si>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</si>
  <si>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</si>
  <si>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</si>
  <si>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</si>
  <si>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</si>
  <si>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</si>
  <si>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</si>
  <si>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</si>
  <si>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</si>
  <si>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</si>
  <si>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</si>
  <si>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</si>
  <si>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</si>
  <si>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</si>
  <si>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</si>
  <si>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</si>
  <si>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</si>
  <si>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</si>
  <si>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</si>
  <si>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</si>
  <si>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</si>
  <si>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</si>
  <si>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</si>
  <si>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</si>
  <si>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</si>
  <si>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</si>
  <si>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</si>
  <si>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</si>
  <si>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</si>
  <si>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</si>
  <si>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</si>
  <si>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</si>
  <si>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</si>
  <si>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</si>
  <si>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</si>
  <si>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</si>
  <si>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</si>
  <si>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</si>
  <si>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</si>
  <si>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</si>
  <si>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</si>
  <si>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</si>
  <si>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</si>
  <si>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</si>
  <si>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</si>
  <si>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</si>
  <si>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</si>
  <si>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</si>
  <si>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</si>
  <si>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</si>
  <si>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</si>
  <si>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</si>
  <si>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</si>
  <si>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</si>
  <si>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</si>
  <si>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</si>
  <si>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</si>
  <si>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</si>
  <si>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</si>
  <si>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</si>
  <si>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</si>
  <si>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</si>
  <si>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</si>
  <si>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</si>
  <si>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</si>
  <si>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</si>
  <si>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</si>
  <si>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</si>
  <si>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</si>
  <si>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</si>
  <si>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</si>
  <si>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</si>
  <si>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</si>
  <si>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</si>
  <si>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</si>
  <si>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</si>
  <si>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</si>
  <si>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</si>
  <si>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</si>
  <si>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</si>
  <si>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</si>
  <si>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</si>
  <si>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</si>
  <si>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</si>
  <si>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</si>
  <si>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</si>
  <si>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</si>
  <si>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</si>
  <si>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</si>
  <si>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</si>
  <si>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</si>
  <si>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</si>
  <si>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</si>
  <si>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</si>
  <si>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</si>
  <si>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</si>
  <si>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</si>
  <si>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</si>
  <si>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</si>
  <si>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</si>
  <si>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</si>
  <si>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</si>
  <si>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</si>
  <si>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</si>
  <si>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</si>
  <si>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</si>
  <si>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</si>
  <si>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</si>
  <si>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</si>
  <si>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</si>
  <si>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</si>
  <si>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</si>
  <si>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</si>
  <si>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</si>
  <si>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</si>
  <si>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</si>
  <si>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</si>
  <si>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</si>
  <si>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</si>
  <si>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</si>
  <si>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</si>
  <si>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</si>
  <si>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</si>
  <si>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</si>
  <si>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</si>
  <si>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</si>
  <si>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</si>
  <si>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</si>
  <si>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</si>
  <si>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</si>
  <si>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</si>
  <si>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</si>
  <si>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</si>
  <si>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</si>
  <si>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</si>
  <si>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</si>
  <si>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</si>
  <si>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</si>
  <si>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</si>
  <si>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</si>
  <si>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</si>
  <si>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</si>
  <si>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</si>
  <si>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</si>
  <si>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</si>
  <si>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</si>
  <si>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</si>
  <si>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</si>
  <si>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</si>
  <si>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</si>
  <si>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</si>
  <si>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</si>
  <si>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</si>
  <si>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</si>
  <si>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</si>
  <si>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</si>
  <si>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</si>
  <si>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</si>
  <si>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</si>
  <si>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</si>
  <si>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</si>
  <si>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</si>
  <si>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</si>
  <si>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</si>
  <si>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</si>
  <si>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</si>
  <si>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</si>
  <si>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</si>
  <si>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</si>
  <si>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</si>
  <si>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</si>
  <si>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</si>
  <si>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</si>
  <si>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</si>
  <si>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</si>
  <si>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</si>
  <si>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</si>
  <si>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</si>
  <si>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</si>
  <si>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</si>
  <si>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</si>
  <si>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</si>
  <si>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</si>
  <si>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</si>
  <si>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</si>
  <si>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</si>
  <si>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</si>
  <si>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</si>
  <si>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</si>
  <si>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</si>
  <si>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</si>
  <si>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</si>
  <si>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</si>
  <si>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</si>
  <si>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</si>
  <si>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</si>
  <si>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</si>
  <si>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</si>
  <si>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</si>
  <si>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</si>
  <si>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</si>
  <si>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</si>
  <si>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</si>
  <si>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</si>
  <si>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</si>
  <si>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</si>
  <si>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</si>
  <si>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</si>
  <si>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</si>
  <si>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</si>
  <si>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</si>
  <si>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</si>
  <si>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</si>
  <si>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</si>
  <si>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</si>
  <si>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</si>
  <si>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</si>
  <si>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</si>
  <si>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</si>
  <si>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</si>
  <si>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</si>
  <si>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</si>
  <si>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</si>
  <si>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</si>
  <si>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</si>
  <si>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</si>
  <si>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</si>
  <si>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</si>
  <si>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</si>
  <si>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</si>
  <si>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</si>
  <si>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</si>
  <si>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</si>
  <si>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</si>
  <si>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</si>
  <si>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</si>
  <si>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</si>
  <si>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</si>
  <si>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</si>
  <si>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</si>
  <si>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</si>
  <si>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</si>
  <si>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</si>
  <si>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</si>
  <si>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</si>
  <si>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</si>
  <si>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</si>
  <si>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</si>
  <si>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</si>
  <si>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</si>
  <si>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</si>
  <si>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</si>
  <si>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</si>
  <si>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</si>
  <si>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</si>
  <si>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</si>
  <si>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</si>
  <si>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</si>
  <si>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</si>
  <si>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</si>
  <si>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</si>
  <si>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</si>
  <si>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</si>
  <si>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</si>
  <si>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</si>
  <si>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</si>
  <si>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</si>
  <si>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</si>
  <si>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</si>
  <si>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</si>
  <si>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</si>
  <si>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</si>
  <si>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</si>
  <si>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</si>
  <si>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</si>
  <si>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</si>
  <si>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</si>
  <si>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</si>
  <si>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</si>
  <si>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</si>
  <si>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</si>
  <si>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</si>
  <si>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</si>
  <si>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</si>
  <si>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</si>
  <si>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</si>
  <si>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</si>
  <si>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</si>
  <si>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</si>
  <si>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</si>
  <si>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</si>
  <si>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</si>
  <si>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</si>
  <si>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</si>
  <si>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</si>
  <si>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</si>
  <si>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</si>
  <si>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</si>
  <si>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</si>
  <si>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</si>
  <si>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</si>
  <si>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</si>
  <si>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</si>
  <si>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</si>
  <si>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</si>
  <si>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</si>
  <si>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</si>
  <si>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</si>
  <si>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</si>
  <si>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</si>
  <si>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</si>
  <si>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</si>
  <si>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</si>
  <si>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</si>
  <si>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</si>
  <si>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</si>
  <si>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</si>
  <si>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</si>
  <si>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</si>
  <si>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</si>
  <si>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</si>
  <si>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</si>
  <si>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</si>
  <si>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</si>
  <si>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</si>
  <si>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</si>
  <si>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</si>
  <si>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</si>
  <si>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</si>
  <si>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</si>
  <si>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</si>
  <si>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</si>
  <si>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</si>
  <si>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</si>
  <si>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</si>
  <si>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</si>
  <si>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</si>
  <si>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</si>
  <si>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</si>
  <si>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</si>
  <si>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</si>
  <si>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</si>
  <si>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</si>
  <si>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</si>
  <si>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</si>
  <si>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</si>
  <si>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</si>
  <si>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</si>
  <si>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</si>
  <si>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</si>
  <si>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</si>
  <si>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</si>
  <si>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</si>
  <si>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</si>
  <si>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</si>
  <si>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</si>
  <si>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</si>
  <si>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</si>
  <si>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</si>
  <si>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</si>
  <si>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</si>
  <si>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</si>
  <si>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</si>
  <si>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</si>
  <si>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</si>
  <si>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</si>
  <si>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</si>
  <si>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</si>
  <si>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</si>
  <si>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</si>
  <si>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</si>
  <si>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</si>
  <si>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</si>
  <si>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</si>
  <si>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</si>
  <si>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</si>
  <si>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</si>
  <si>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</si>
  <si>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</si>
  <si>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</si>
  <si>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</si>
  <si>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</si>
  <si>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</si>
  <si>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</si>
  <si>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</si>
  <si>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</si>
  <si>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</si>
  <si>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</si>
  <si>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</si>
  <si>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</si>
  <si>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</si>
  <si>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</si>
  <si>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</si>
  <si>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</si>
  <si>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</si>
  <si>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</si>
  <si>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</si>
  <si>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</si>
  <si>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</si>
  <si>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</si>
  <si>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</si>
  <si>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</si>
  <si>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</si>
  <si>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</si>
  <si>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</si>
  <si>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</si>
  <si>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</si>
  <si>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</si>
  <si>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</si>
  <si>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</si>
  <si>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</si>
  <si>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</si>
  <si>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</si>
  <si>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</si>
  <si>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</si>
  <si>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</si>
  <si>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</si>
  <si>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</si>
  <si>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</si>
  <si>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</si>
  <si>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</si>
  <si>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</si>
  <si>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</si>
  <si>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</si>
  <si>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</si>
  <si>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</si>
  <si>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</si>
  <si>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</si>
  <si>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</si>
  <si>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</si>
  <si>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</si>
  <si>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</si>
  <si>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</si>
  <si>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</si>
  <si>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</si>
  <si>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</si>
  <si>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</si>
  <si>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</si>
  <si>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</si>
  <si>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</si>
  <si>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</si>
  <si>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</si>
  <si>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</si>
  <si>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</si>
  <si>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</si>
  <si>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</si>
  <si>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</si>
  <si>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</si>
  <si>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</si>
  <si>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</si>
  <si>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</si>
  <si>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</si>
  <si>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</si>
  <si>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</si>
  <si>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</si>
  <si>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</si>
  <si>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</si>
  <si>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</si>
  <si>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</si>
  <si>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</si>
  <si>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</si>
  <si>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</si>
  <si>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</si>
  <si>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</si>
  <si>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</si>
  <si>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</si>
  <si>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</si>
  <si>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</si>
  <si>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</si>
  <si>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</si>
  <si>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</si>
  <si>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</si>
  <si>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</si>
  <si>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</si>
  <si>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</si>
  <si>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</si>
  <si>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</si>
  <si>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</si>
  <si>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</si>
  <si>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</si>
  <si>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</si>
  <si>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</si>
  <si>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</si>
  <si>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</si>
  <si>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</si>
  <si>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</si>
  <si>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</si>
  <si>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</si>
  <si>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</si>
  <si>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</si>
  <si>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</si>
  <si>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</si>
  <si>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</si>
  <si>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</si>
  <si>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</si>
  <si>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</si>
  <si>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</si>
  <si>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</si>
  <si>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</si>
  <si>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</si>
  <si>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</si>
  <si>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</si>
  <si>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</si>
  <si>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</si>
  <si>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</si>
  <si>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</si>
  <si>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</si>
  <si>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</si>
  <si>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</si>
  <si>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</si>
  <si>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</si>
  <si>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</si>
  <si>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</si>
  <si>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</si>
  <si>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</si>
  <si>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</si>
  <si>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</si>
  <si>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</si>
  <si>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</si>
  <si>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</si>
  <si>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</si>
  <si>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</si>
  <si>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</si>
  <si>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</si>
  <si>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</si>
  <si>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</si>
  <si>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</si>
  <si>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</si>
  <si>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</si>
  <si>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</si>
  <si>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</si>
  <si>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</si>
  <si>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</si>
  <si>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</si>
  <si>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</si>
  <si>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</si>
  <si>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</si>
  <si>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</si>
  <si>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</si>
  <si>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</si>
  <si>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</si>
  <si>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</si>
  <si>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</si>
  <si>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</si>
  <si>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</si>
  <si>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</si>
  <si>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</si>
  <si>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</si>
  <si>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</si>
  <si>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</si>
  <si>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</si>
  <si>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</si>
  <si>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</si>
  <si>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</si>
  <si>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</si>
  <si>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</si>
  <si>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</si>
  <si>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</si>
  <si>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</si>
  <si>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</si>
  <si>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</si>
  <si>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</si>
  <si>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</si>
  <si>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</si>
  <si>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</si>
  <si>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</si>
  <si>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</si>
  <si>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</si>
  <si>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</si>
  <si>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</si>
  <si>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</si>
  <si>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</si>
  <si>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</si>
  <si>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</si>
  <si>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</si>
  <si>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</si>
  <si>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</si>
  <si>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</si>
  <si>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</si>
  <si>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</si>
  <si>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</si>
  <si>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</si>
  <si>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</si>
  <si>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</si>
  <si>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</si>
  <si>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</si>
  <si>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</si>
  <si>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</si>
  <si>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</si>
  <si>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</si>
  <si>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</si>
  <si>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</si>
  <si>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</si>
  <si>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</si>
  <si>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</si>
  <si>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</si>
  <si>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</si>
  <si>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</si>
  <si>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</si>
  <si>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</si>
  <si>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</si>
  <si>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</si>
  <si>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</si>
  <si>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</si>
  <si>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</si>
  <si>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</si>
  <si>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</si>
  <si>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</si>
  <si>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</si>
  <si>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</si>
  <si>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</si>
  <si>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</si>
  <si>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</si>
  <si>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</si>
  <si>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</si>
  <si>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</si>
  <si>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</si>
  <si>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</si>
  <si>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</si>
  <si>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</si>
  <si>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</si>
  <si>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</si>
  <si>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</si>
  <si>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</si>
  <si>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</si>
  <si>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</si>
  <si>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</si>
  <si>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</si>
  <si>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</si>
  <si>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</si>
  <si>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</si>
  <si>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</si>
  <si>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</si>
  <si>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</si>
  <si>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</si>
  <si>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</si>
  <si>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</si>
  <si>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</si>
  <si>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</si>
  <si>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</si>
  <si>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</si>
  <si>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</si>
  <si>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</si>
  <si>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</si>
  <si>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</si>
  <si>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</si>
  <si>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</si>
  <si>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</si>
  <si>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</si>
  <si>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</si>
  <si>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</si>
  <si>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</si>
  <si>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</si>
  <si>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</si>
  <si>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</si>
  <si>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</si>
  <si>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</si>
  <si>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</si>
  <si>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</si>
  <si>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</si>
  <si>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</si>
  <si>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</si>
  <si>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</si>
  <si>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</si>
  <si>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</si>
  <si>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</si>
  <si>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</si>
  <si>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</si>
  <si>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</si>
  <si>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</si>
  <si>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</si>
  <si>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</si>
  <si>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</si>
  <si>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</si>
  <si>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</si>
  <si>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</si>
  <si>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</si>
  <si>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</si>
  <si>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</si>
  <si>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</si>
  <si>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</si>
  <si>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</si>
  <si>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</si>
  <si>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</si>
  <si>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</si>
  <si>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</si>
  <si>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</si>
  <si>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</si>
  <si>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</si>
  <si>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</si>
  <si>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</si>
  <si>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</si>
  <si>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</si>
  <si>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</si>
  <si>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</si>
  <si>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</si>
  <si>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</si>
  <si>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</si>
  <si>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</si>
  <si>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</si>
  <si>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</si>
  <si>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</si>
  <si>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</si>
  <si>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</si>
  <si>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</si>
  <si>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</si>
  <si>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</si>
  <si>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</si>
  <si>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</si>
  <si>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</si>
  <si>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</si>
  <si>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</si>
  <si>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</si>
  <si>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</si>
  <si>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</si>
  <si>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</si>
  <si>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</si>
  <si>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</si>
  <si>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</si>
  <si>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</si>
  <si>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</si>
  <si>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</si>
  <si>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</si>
  <si>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</si>
  <si>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</si>
  <si>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</si>
  <si>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</si>
  <si>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</si>
  <si>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</si>
  <si>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</si>
  <si>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</si>
  <si>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</si>
  <si>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</si>
  <si>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</si>
  <si>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</si>
  <si>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</si>
  <si>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</si>
  <si>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</si>
  <si>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</si>
  <si>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</si>
  <si>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</si>
  <si>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</si>
  <si>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</si>
  <si>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</si>
  <si>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</si>
  <si>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</si>
  <si>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</si>
  <si>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</si>
  <si>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</si>
  <si>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</si>
  <si>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</si>
  <si>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</si>
  <si>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</si>
  <si>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</si>
  <si>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</si>
  <si>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</si>
  <si>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</si>
  <si>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</si>
  <si>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</si>
  <si>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</si>
  <si>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</si>
  <si>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</si>
  <si>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</si>
  <si>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</si>
  <si>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</si>
  <si>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</si>
  <si>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</si>
  <si>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</si>
  <si>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</si>
  <si>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</si>
  <si>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</si>
  <si>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</si>
  <si>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</si>
  <si>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</si>
  <si>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</si>
  <si>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</si>
  <si>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</si>
  <si>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</si>
  <si>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</si>
  <si>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</si>
  <si>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</si>
  <si>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</si>
  <si>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</si>
  <si>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</si>
  <si>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</si>
  <si>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</si>
  <si>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</si>
  <si>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</si>
  <si>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</si>
  <si>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</si>
  <si>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</si>
  <si>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</si>
  <si>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</si>
  <si>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</si>
  <si>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</si>
  <si>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</si>
  <si>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</si>
  <si>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</si>
  <si>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</si>
  <si>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</si>
  <si>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</si>
  <si>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</si>
  <si>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</si>
  <si>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</si>
  <si>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</si>
  <si>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</si>
  <si>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</si>
  <si>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</si>
  <si>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</si>
  <si>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</si>
  <si>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</si>
  <si>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</si>
  <si>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</si>
  <si>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</si>
  <si>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</si>
  <si>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</si>
  <si>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</si>
  <si>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</si>
  <si>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</si>
  <si>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</si>
  <si>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</si>
  <si>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</si>
  <si>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</si>
  <si>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</si>
  <si>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</si>
  <si>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</si>
  <si>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</si>
  <si>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</si>
  <si>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</si>
  <si>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</si>
  <si>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</si>
  <si>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</si>
  <si>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</si>
  <si>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</si>
  <si>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</si>
  <si>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</si>
  <si>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</si>
  <si>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</si>
  <si>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</si>
  <si>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</si>
  <si>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</si>
  <si>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</si>
  <si>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</si>
  <si>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</si>
  <si>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</si>
  <si>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</si>
  <si>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</si>
  <si>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</si>
  <si>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</si>
  <si>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</si>
  <si>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</si>
  <si>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</si>
  <si>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</si>
  <si>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</si>
  <si>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</si>
  <si>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</si>
  <si>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</si>
  <si>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</si>
  <si>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</si>
  <si>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</si>
  <si>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</si>
  <si>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</si>
  <si>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</si>
  <si>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</si>
  <si>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</si>
  <si>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</si>
  <si>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</si>
  <si>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</si>
  <si>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</si>
  <si>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</si>
  <si>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</si>
  <si>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</si>
  <si>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</si>
  <si>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</si>
  <si>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</si>
  <si>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</si>
  <si>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</si>
  <si>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</si>
  <si>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</si>
  <si>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</si>
  <si>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</si>
  <si>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</si>
  <si>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</si>
  <si>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</si>
  <si>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</si>
  <si>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</si>
  <si>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</si>
  <si>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</si>
  <si>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</si>
  <si>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</si>
  <si>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</si>
  <si>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</si>
  <si>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</si>
  <si>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</si>
  <si>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</si>
  <si>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</si>
  <si>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</si>
  <si>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</si>
  <si>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</si>
  <si>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</si>
  <si>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</si>
  <si>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</si>
  <si>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</si>
  <si>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</si>
  <si>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</si>
  <si>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</si>
  <si>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</si>
  <si>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</si>
  <si>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</si>
  <si>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</si>
  <si>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</si>
  <si>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</si>
  <si>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</si>
  <si>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</si>
  <si>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</si>
  <si>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</si>
  <si>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</si>
  <si>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</si>
  <si>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</si>
  <si>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</si>
  <si>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</si>
  <si>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</si>
  <si>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</si>
  <si>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</si>
  <si>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</si>
  <si>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</si>
  <si>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</si>
  <si>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</si>
  <si>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</si>
  <si>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</si>
  <si>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</si>
  <si>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</si>
  <si>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</si>
  <si>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</si>
  <si>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</si>
  <si>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</si>
  <si>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</si>
  <si>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</si>
  <si>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</si>
  <si>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</si>
  <si>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</si>
  <si>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</si>
  <si>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</si>
  <si>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</si>
  <si>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</si>
  <si>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</si>
  <si>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</si>
  <si>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</si>
  <si>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</si>
  <si>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</si>
  <si>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</si>
  <si>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</si>
  <si>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</si>
  <si>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</si>
  <si>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</si>
  <si>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</si>
  <si>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</si>
  <si>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</si>
  <si>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</si>
  <si>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</si>
  <si>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</si>
  <si>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</si>
  <si>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</si>
  <si>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</si>
  <si>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</si>
  <si>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</si>
  <si>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</si>
  <si>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</si>
  <si>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</si>
  <si>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</si>
  <si>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</si>
  <si>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</si>
  <si>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</si>
  <si>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</si>
  <si>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</si>
  <si>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</si>
  <si>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</si>
  <si>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</si>
  <si>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</si>
  <si>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</si>
  <si>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</si>
  <si>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</si>
  <si>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</si>
  <si>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</si>
  <si>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</si>
  <si>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</si>
  <si>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</si>
  <si>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</si>
  <si>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</si>
  <si>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</si>
  <si>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</si>
  <si>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</si>
  <si>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</si>
  <si>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</si>
  <si>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</si>
  <si>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</si>
  <si>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</si>
  <si>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</si>
  <si>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</si>
  <si>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</si>
  <si>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</si>
  <si>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</si>
  <si>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</si>
  <si>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</si>
  <si>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</si>
  <si>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</si>
  <si>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</si>
  <si>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</si>
  <si>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</si>
  <si>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</si>
  <si>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</si>
  <si>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</si>
  <si>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</si>
  <si>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</si>
  <si>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</si>
  <si>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</si>
  <si>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</si>
  <si>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</si>
  <si>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</si>
  <si>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</si>
  <si>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</si>
  <si>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</si>
  <si>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</si>
  <si>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</si>
  <si>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</si>
  <si>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</si>
  <si>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</si>
  <si>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</si>
  <si>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</si>
  <si>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</si>
  <si>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</si>
  <si>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</si>
  <si>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</si>
  <si>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</si>
  <si>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</si>
  <si>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</si>
  <si>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</si>
  <si>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</si>
  <si>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</si>
  <si>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</si>
  <si>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</si>
  <si>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</si>
  <si>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</si>
  <si>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</si>
  <si>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</si>
  <si>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</si>
  <si>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</si>
  <si>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</si>
  <si>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</si>
  <si>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</si>
  <si>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</si>
  <si>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</si>
  <si>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</si>
  <si>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</si>
  <si>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</si>
  <si>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</si>
  <si>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</si>
  <si>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</si>
  <si>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</si>
  <si>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</si>
  <si>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</si>
  <si>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</si>
  <si>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</si>
  <si>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</si>
  <si>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</si>
  <si>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</si>
  <si>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</si>
  <si>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</si>
  <si>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</si>
  <si>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</si>
  <si>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</si>
  <si>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</si>
  <si>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</si>
  <si>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</si>
  <si>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</si>
  <si>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</si>
  <si>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</si>
  <si>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</si>
  <si>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</si>
  <si>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</si>
  <si>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</si>
  <si>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</si>
  <si>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</si>
  <si>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</si>
  <si>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</si>
  <si>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</si>
  <si>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</si>
  <si>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</si>
  <si>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</si>
  <si>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</si>
  <si>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</si>
  <si>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</si>
  <si>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</si>
  <si>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</si>
  <si>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</si>
  <si>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</si>
  <si>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</si>
  <si>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</si>
  <si>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</si>
  <si>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</si>
  <si>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</si>
  <si>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</si>
  <si>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</si>
  <si>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</si>
  <si>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</si>
  <si>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</si>
  <si>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</si>
  <si>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</si>
  <si>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</si>
  <si>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</si>
  <si>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</si>
  <si>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</si>
  <si>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</si>
  <si>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</si>
  <si>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</si>
  <si>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</si>
  <si>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</si>
  <si>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</si>
  <si>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</si>
  <si>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</si>
  <si>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</si>
  <si>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</si>
  <si>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</si>
  <si>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</si>
  <si>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</si>
  <si>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</si>
  <si>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</si>
  <si>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</si>
  <si>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</si>
  <si>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</si>
  <si>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</si>
  <si>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</si>
  <si>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</si>
  <si>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</si>
  <si>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</si>
  <si>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</si>
  <si>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</si>
  <si>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</si>
  <si>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</si>
  <si>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</si>
  <si>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</si>
  <si>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</si>
  <si>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</si>
  <si>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</si>
  <si>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</si>
  <si>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</si>
  <si>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</si>
  <si>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</si>
  <si>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</si>
  <si>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</si>
  <si>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</si>
  <si>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</si>
  <si>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</si>
  <si>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</si>
  <si>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</si>
  <si>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</si>
  <si>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</si>
  <si>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</si>
  <si>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</si>
  <si>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</si>
  <si>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</si>
  <si>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</si>
  <si>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</si>
  <si>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</si>
  <si>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</si>
  <si>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</si>
  <si>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</si>
  <si>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</si>
  <si>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</si>
  <si>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</si>
  <si>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</si>
  <si>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</si>
  <si>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</si>
  <si>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</si>
  <si>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</si>
  <si>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</si>
  <si>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</si>
  <si>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</si>
  <si>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</si>
  <si>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</si>
  <si>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</si>
  <si>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</si>
  <si>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</si>
  <si>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</si>
  <si>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</si>
  <si>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</si>
  <si>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</si>
  <si>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</si>
  <si>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</si>
  <si>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</si>
  <si>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</si>
  <si>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</si>
  <si>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</si>
  <si>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</si>
  <si>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</si>
  <si>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</si>
  <si>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</si>
  <si>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</si>
  <si>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</si>
  <si>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</si>
  <si>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</si>
  <si>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</si>
  <si>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</si>
  <si>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</si>
  <si>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</si>
  <si>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</si>
  <si>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</si>
  <si>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</si>
  <si>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</si>
  <si>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</si>
  <si>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</si>
  <si>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</si>
  <si>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</si>
  <si>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</si>
  <si>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</si>
  <si>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</si>
  <si>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</si>
  <si>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</si>
  <si>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</si>
  <si>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</si>
  <si>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</si>
  <si>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</si>
  <si>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</si>
  <si>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</si>
  <si>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</si>
  <si>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</si>
  <si>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</si>
  <si>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</si>
  <si>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</si>
  <si>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</si>
  <si>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</si>
  <si>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</si>
  <si>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</si>
  <si>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</si>
  <si>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</si>
  <si>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</si>
  <si>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</si>
  <si>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</si>
  <si>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</si>
  <si>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</si>
  <si>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</si>
  <si>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</si>
  <si>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</si>
  <si>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</si>
  <si>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</si>
  <si>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</si>
  <si>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</si>
  <si>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</si>
  <si>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</si>
  <si>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</si>
  <si>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</si>
  <si>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</si>
  <si>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</si>
  <si>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</si>
  <si>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</si>
  <si>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</si>
  <si>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</si>
  <si>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</si>
  <si>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</si>
  <si>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</si>
  <si>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</si>
  <si>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</si>
  <si>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</si>
  <si>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</si>
  <si>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</si>
  <si>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</si>
  <si>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</si>
  <si>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</si>
  <si>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</si>
  <si>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</si>
  <si>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</si>
  <si>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</si>
  <si>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</si>
  <si>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</si>
  <si>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</si>
  <si>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</si>
  <si>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</si>
  <si>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</si>
  <si>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</si>
  <si>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</si>
  <si>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</si>
  <si>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</si>
  <si>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</si>
  <si>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</si>
  <si>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</si>
  <si>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</si>
  <si>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</si>
  <si>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</si>
  <si>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</si>
  <si>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</si>
  <si>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</si>
  <si>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</si>
  <si>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</si>
  <si>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</si>
  <si>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</si>
  <si>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</si>
  <si>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</si>
  <si>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</si>
  <si>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</si>
  <si>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</si>
  <si>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</si>
  <si>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</si>
  <si>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</si>
  <si>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</si>
  <si>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</si>
  <si>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</si>
  <si>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</si>
  <si>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</si>
  <si>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</si>
  <si>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</si>
  <si>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</si>
  <si>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</si>
  <si>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</si>
  <si>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</si>
  <si>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</si>
  <si>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</si>
  <si>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</si>
  <si>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</si>
  <si>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</si>
  <si>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</si>
  <si>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</si>
  <si>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</si>
  <si>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</si>
  <si>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</si>
  <si>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</si>
  <si>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</si>
  <si>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</si>
  <si>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</si>
  <si>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</si>
  <si>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</si>
  <si>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</si>
  <si>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</si>
  <si>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</si>
  <si>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</si>
  <si>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</si>
  <si>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</si>
  <si>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</si>
  <si>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</si>
  <si>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</si>
  <si>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</si>
  <si>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</si>
  <si>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</si>
  <si>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</si>
  <si>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</si>
  <si>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</si>
  <si>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</si>
  <si>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</si>
  <si>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</si>
  <si>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</si>
  <si>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</si>
  <si>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</si>
  <si>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</si>
  <si>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</si>
  <si>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</si>
  <si>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</si>
  <si>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</si>
  <si>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</si>
  <si>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</si>
  <si>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</si>
  <si>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</si>
  <si>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</si>
  <si>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</si>
  <si>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</si>
  <si>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</si>
  <si>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</si>
  <si>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</si>
  <si>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</si>
  <si>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</si>
  <si>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</si>
  <si>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</si>
  <si>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</si>
  <si>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</si>
  <si>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</si>
  <si>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</si>
  <si>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</si>
  <si>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</si>
  <si>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</si>
  <si>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</si>
  <si>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</si>
  <si>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</si>
  <si>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</si>
  <si>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</si>
  <si>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</si>
  <si>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</si>
  <si>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</si>
  <si>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</si>
  <si>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</si>
  <si>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</si>
  <si>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</si>
  <si>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</si>
  <si>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</si>
  <si>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</si>
  <si>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</si>
  <si>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</si>
  <si>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</si>
  <si>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</si>
  <si>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</si>
  <si>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</si>
  <si>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</si>
  <si>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</si>
  <si>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</si>
  <si>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</si>
  <si>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</si>
  <si>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</si>
  <si>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</si>
  <si>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</si>
  <si>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</si>
  <si>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</si>
  <si>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</si>
  <si>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</si>
  <si>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</si>
  <si>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</si>
  <si>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</si>
  <si>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</si>
  <si>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</si>
  <si>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</si>
  <si>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</si>
  <si>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</si>
  <si>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</si>
  <si>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</si>
  <si>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</si>
  <si>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</si>
  <si>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</si>
  <si>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</si>
  <si>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</si>
  <si>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</si>
  <si>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</si>
  <si>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</si>
  <si>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</si>
  <si>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</si>
  <si>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</si>
  <si>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</si>
  <si>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</si>
  <si>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</si>
  <si>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</si>
  <si>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</si>
  <si>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</si>
  <si>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</si>
  <si>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</si>
  <si>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</si>
  <si>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</si>
  <si>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</si>
  <si>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</si>
  <si>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</si>
  <si>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</si>
  <si>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</si>
  <si>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</si>
  <si>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</si>
  <si>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</si>
  <si>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</si>
  <si>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</si>
  <si>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</si>
  <si>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</si>
  <si>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</si>
  <si>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</si>
  <si>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</si>
  <si>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</si>
  <si>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</si>
  <si>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</si>
  <si>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</si>
  <si>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</si>
  <si>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</si>
  <si>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</si>
  <si>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</si>
  <si>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</si>
  <si>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</si>
  <si>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</si>
  <si>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</si>
  <si>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</si>
  <si>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</si>
  <si>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</si>
  <si>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</si>
  <si>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</si>
  <si>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</si>
  <si>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</si>
  <si>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</si>
  <si>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</si>
  <si>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</si>
  <si>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</si>
  <si>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</si>
  <si>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</si>
  <si>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</si>
  <si>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</si>
  <si>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</si>
  <si>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</si>
  <si>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</si>
  <si>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</si>
  <si>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</si>
  <si>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</si>
  <si>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</si>
  <si>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</si>
  <si>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</si>
  <si>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</si>
  <si>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</si>
  <si>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</si>
  <si>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</si>
  <si>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</si>
  <si>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</si>
  <si>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</si>
  <si>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</si>
  <si>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</si>
  <si>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</si>
  <si>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</si>
  <si>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</si>
  <si>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</si>
  <si>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</si>
  <si>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</si>
  <si>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</si>
  <si>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</si>
  <si>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</si>
  <si>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</si>
  <si>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</si>
  <si>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</si>
  <si>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</si>
  <si>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</si>
  <si>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</si>
  <si>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</si>
  <si>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</si>
  <si>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</si>
  <si>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</si>
  <si>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</si>
  <si>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</si>
  <si>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</si>
  <si>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</si>
  <si>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</si>
  <si>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</si>
  <si>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</si>
  <si>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</si>
  <si>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</si>
  <si>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</si>
  <si>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</si>
  <si>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</si>
  <si>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</si>
  <si>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</si>
  <si>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</si>
  <si>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</si>
  <si>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</si>
  <si>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</si>
  <si>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</si>
  <si>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</si>
  <si>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</si>
  <si>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</si>
  <si>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</si>
  <si>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</si>
  <si>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</si>
  <si>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</si>
  <si>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</si>
  <si>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</si>
  <si>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</si>
  <si>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</si>
  <si>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</si>
  <si>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</si>
  <si>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</si>
  <si>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</si>
  <si>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</si>
  <si>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</si>
  <si>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</si>
  <si>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</si>
  <si>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</si>
  <si>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</si>
  <si>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</si>
  <si>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</si>
  <si>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</si>
  <si>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</si>
  <si>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</si>
  <si>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</si>
  <si>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</si>
  <si>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</si>
  <si>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</si>
  <si>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</si>
  <si>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</si>
  <si>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</si>
  <si>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</si>
  <si>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</si>
  <si>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</si>
  <si>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</si>
  <si>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</si>
  <si>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</si>
  <si>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</si>
  <si>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</si>
  <si>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</si>
  <si>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</si>
  <si>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</si>
  <si>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</si>
  <si>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</si>
  <si>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</si>
  <si>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</si>
  <si>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</si>
  <si>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</si>
  <si>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</si>
  <si>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</si>
  <si>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</si>
  <si>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</si>
  <si>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</si>
  <si>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</si>
  <si>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</si>
  <si>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</si>
  <si>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</si>
  <si>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</si>
  <si>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</si>
  <si>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</si>
  <si>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</si>
  <si>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</si>
  <si>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</si>
  <si>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</si>
  <si>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</si>
  <si>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</si>
  <si>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</si>
  <si>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</si>
  <si>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</si>
  <si>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</si>
  <si>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</si>
  <si>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</si>
  <si>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</si>
  <si>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</si>
  <si>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</si>
  <si>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</si>
  <si>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</si>
  <si>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</si>
  <si>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</si>
  <si>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</si>
  <si>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</si>
  <si>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</si>
  <si>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</si>
  <si>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</si>
  <si>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</si>
  <si>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</si>
  <si>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</si>
  <si>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</si>
  <si>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</si>
  <si>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</si>
  <si>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</si>
  <si>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</si>
  <si>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</si>
  <si>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</si>
  <si>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</si>
  <si>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</si>
  <si>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</si>
  <si>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</si>
  <si>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</si>
  <si>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</si>
  <si>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</si>
  <si>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</si>
  <si>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</si>
  <si>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</si>
  <si>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</si>
  <si>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</si>
  <si>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</si>
  <si>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</si>
  <si>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</si>
  <si>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</si>
  <si>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</si>
  <si>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</si>
  <si>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</si>
  <si>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</si>
  <si>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</si>
  <si>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</si>
  <si>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</si>
  <si>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</si>
  <si>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</si>
  <si>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</si>
  <si>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</si>
  <si>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</si>
  <si>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</si>
  <si>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</si>
  <si>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</si>
  <si>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</si>
  <si>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</si>
  <si>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</si>
  <si>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</si>
  <si>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</si>
  <si>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</si>
  <si>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</si>
  <si>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</si>
  <si>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</si>
  <si>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</si>
  <si>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</si>
  <si>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</si>
  <si>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</si>
  <si>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</si>
  <si>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</si>
  <si>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</si>
  <si>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</si>
  <si>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</si>
  <si>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</si>
  <si>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</si>
  <si>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</si>
  <si>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</si>
  <si>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</si>
  <si>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</si>
  <si>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</si>
  <si>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</si>
  <si>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</si>
  <si>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</si>
  <si>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</si>
  <si>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</si>
  <si>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</si>
  <si>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</si>
  <si>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</si>
  <si>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</si>
  <si>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</si>
  <si>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</si>
  <si>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</si>
  <si>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</si>
  <si>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</si>
  <si>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</si>
  <si>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</si>
  <si>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</si>
  <si>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</si>
  <si>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</si>
  <si>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</si>
  <si>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</si>
  <si>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</si>
  <si>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</si>
  <si>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</si>
  <si>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</si>
  <si>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</si>
  <si>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</si>
  <si>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</si>
  <si>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</si>
  <si>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</si>
  <si>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</si>
  <si>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</si>
  <si>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</si>
  <si>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</si>
  <si>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</si>
  <si>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</si>
  <si>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</si>
  <si>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</si>
  <si>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</si>
  <si>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</si>
  <si>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</si>
  <si>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</si>
  <si>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</si>
  <si>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</si>
  <si>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</si>
  <si>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</si>
  <si>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</si>
  <si>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</si>
  <si>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</si>
  <si>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</si>
  <si>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</si>
  <si>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</si>
  <si>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</si>
  <si>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</si>
  <si>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</si>
  <si>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</si>
  <si>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</si>
  <si>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</si>
  <si>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</si>
  <si>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</si>
  <si>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</si>
  <si>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</si>
  <si>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</si>
  <si>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</si>
  <si>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</si>
  <si>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</si>
  <si>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</si>
  <si>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</si>
  <si>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</si>
  <si>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</si>
  <si>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</si>
  <si>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</si>
  <si>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</si>
  <si>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</si>
  <si>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</si>
  <si>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</si>
  <si>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</si>
  <si>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</si>
  <si>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</si>
  <si>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</si>
  <si>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</si>
  <si>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</si>
  <si>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</si>
  <si>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</si>
  <si>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</si>
  <si>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</si>
  <si>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</si>
  <si>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</si>
  <si>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</si>
  <si>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</si>
  <si>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</si>
  <si>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</si>
  <si>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</si>
  <si>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</si>
  <si>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</si>
  <si>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</si>
  <si>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</si>
  <si>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</si>
  <si>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</si>
  <si>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</si>
  <si>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</si>
  <si>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</si>
  <si>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</si>
  <si>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</si>
  <si>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</si>
  <si>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</si>
  <si>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</si>
  <si>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</si>
  <si>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</si>
  <si>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</si>
  <si>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</si>
  <si>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</si>
  <si>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</si>
  <si>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</si>
  <si>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</si>
  <si>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</si>
  <si>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</si>
  <si>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</si>
  <si>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</si>
  <si>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</si>
  <si>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</si>
  <si>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</si>
  <si>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</si>
  <si>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</si>
  <si>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</si>
  <si>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</si>
  <si>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</si>
  <si>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</si>
  <si>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</si>
  <si>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</si>
  <si>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</si>
  <si>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</si>
  <si>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</si>
  <si>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</si>
  <si>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</si>
  <si>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</si>
  <si>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</si>
  <si>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</si>
  <si>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</si>
  <si>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</si>
  <si>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</si>
  <si>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</si>
  <si>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</si>
  <si>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</si>
  <si>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</si>
  <si>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</si>
  <si>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</si>
  <si>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</si>
  <si>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</si>
  <si>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</si>
  <si>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</si>
  <si>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</si>
  <si>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</si>
  <si>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</si>
  <si>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</si>
  <si>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</si>
  <si>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</si>
  <si>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</si>
  <si>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</si>
  <si>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</si>
  <si>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</si>
  <si>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</si>
  <si>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</si>
  <si>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</si>
  <si>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</si>
  <si>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</si>
  <si>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</si>
  <si>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</si>
  <si>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</si>
  <si>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</si>
  <si>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</si>
  <si>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</si>
  <si>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</si>
  <si>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</si>
  <si>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</si>
  <si>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</si>
  <si>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</si>
  <si>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</si>
  <si>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</si>
  <si>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</si>
  <si>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</si>
  <si>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</si>
  <si>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</si>
  <si>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</si>
  <si>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</si>
  <si>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</si>
  <si>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</si>
  <si>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</si>
  <si>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</si>
  <si>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</si>
  <si>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</si>
  <si>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</si>
  <si>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</si>
  <si>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</si>
  <si>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</si>
  <si>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</si>
  <si>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</si>
  <si>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</si>
  <si>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</si>
  <si>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</si>
  <si>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</si>
  <si>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</si>
  <si>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</si>
  <si>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</si>
  <si>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</si>
  <si>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</si>
  <si>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</si>
  <si>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</si>
  <si>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</si>
  <si>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</si>
  <si>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</si>
  <si>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</si>
  <si>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</si>
  <si>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</si>
  <si>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</si>
  <si>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</si>
  <si>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</si>
  <si>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</si>
  <si>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</si>
  <si>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</si>
  <si>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</si>
  <si>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</si>
  <si>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</si>
  <si>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</si>
  <si>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</si>
  <si>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</si>
  <si>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</si>
  <si>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</si>
  <si>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</si>
  <si>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</si>
  <si>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</si>
  <si>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</si>
  <si>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</si>
  <si>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</si>
  <si>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</si>
  <si>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</si>
  <si>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</si>
  <si>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</si>
  <si>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</si>
  <si>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</si>
  <si>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</si>
  <si>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</si>
  <si>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</si>
  <si>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</si>
  <si>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</si>
  <si>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</si>
  <si>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</si>
  <si>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</si>
  <si>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</si>
  <si>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</si>
  <si>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</si>
  <si>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</si>
  <si>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</si>
  <si>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</si>
  <si>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</si>
  <si>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</si>
  <si>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</si>
  <si>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</si>
  <si>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</si>
  <si>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</si>
  <si>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</si>
  <si>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</si>
  <si>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</si>
  <si>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</si>
  <si>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</si>
  <si>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</si>
  <si>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</si>
  <si>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</si>
  <si>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</si>
  <si>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</si>
  <si>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</si>
  <si>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</si>
  <si>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</si>
  <si>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</si>
  <si>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</si>
  <si>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</si>
  <si>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</si>
  <si>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</si>
  <si>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</si>
  <si>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</si>
  <si>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</si>
  <si>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</si>
  <si>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</si>
  <si>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</si>
  <si>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</si>
  <si>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</si>
  <si>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</si>
  <si>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</si>
  <si>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</si>
  <si>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</si>
  <si>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</si>
  <si>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</si>
  <si>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</si>
  <si>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</si>
  <si>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</si>
  <si>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</si>
  <si>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</si>
  <si>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</si>
  <si>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</si>
  <si>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</si>
  <si>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</si>
  <si>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</si>
  <si>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</si>
  <si>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</si>
  <si>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</si>
  <si>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</si>
  <si>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</si>
  <si>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</si>
  <si>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</si>
  <si>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</si>
  <si>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</si>
  <si>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</si>
  <si>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</si>
  <si>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</si>
  <si>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</si>
  <si>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</si>
  <si>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</si>
  <si>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</si>
  <si>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</si>
  <si>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</si>
  <si>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</si>
  <si>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</si>
  <si>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</si>
  <si>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</si>
  <si>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</si>
  <si>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</si>
  <si>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</si>
  <si>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</si>
  <si>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</si>
  <si>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</si>
  <si>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</si>
  <si>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</si>
  <si>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</si>
  <si>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</si>
  <si>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</si>
  <si>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</si>
  <si>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</si>
  <si>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</si>
  <si>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</si>
  <si>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</si>
  <si>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</si>
  <si>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</si>
  <si>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</si>
  <si>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</si>
  <si>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</si>
  <si>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</si>
  <si>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</si>
  <si>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</si>
  <si>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</si>
  <si>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</si>
  <si>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</si>
  <si>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</si>
  <si>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</si>
  <si>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</si>
  <si>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</si>
  <si>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</si>
  <si>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</si>
  <si>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</si>
  <si>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</si>
  <si>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</si>
  <si>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</si>
  <si>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</si>
  <si>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</si>
  <si>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</si>
  <si>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</si>
  <si>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</si>
  <si>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</si>
  <si>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</si>
  <si>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</si>
  <si>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</si>
  <si>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</si>
  <si>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</si>
  <si>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</si>
  <si>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</si>
  <si>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</si>
  <si>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</si>
  <si>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</si>
  <si>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</si>
  <si>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</si>
  <si>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</si>
  <si>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</si>
  <si>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</si>
  <si>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</si>
  <si>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</si>
  <si>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</si>
  <si>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</si>
  <si>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</si>
  <si>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</si>
  <si>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</si>
  <si>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</si>
  <si>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</si>
  <si>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</si>
  <si>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</si>
  <si>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</si>
  <si>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</si>
  <si>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</si>
  <si>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</si>
  <si>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</si>
  <si>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</si>
  <si>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</si>
  <si>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</si>
  <si>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</si>
  <si>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</si>
  <si>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</si>
  <si>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</si>
  <si>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</si>
  <si>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</si>
  <si>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</si>
  <si>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</si>
  <si>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</si>
  <si>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</si>
  <si>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</si>
  <si>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</si>
  <si>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</si>
  <si>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</si>
  <si>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</si>
  <si>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</si>
  <si>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</si>
  <si>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</si>
  <si>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</si>
  <si>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</si>
  <si>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</si>
  <si>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</si>
  <si>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</si>
  <si>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</si>
  <si>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</si>
  <si>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</si>
  <si>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</si>
  <si>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</si>
  <si>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</si>
  <si>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</si>
  <si>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</si>
  <si>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</si>
  <si>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</si>
  <si>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</si>
  <si>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</si>
  <si>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</si>
  <si>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</si>
  <si>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</si>
  <si>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</si>
  <si>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</si>
  <si>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</si>
  <si>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</si>
  <si>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</si>
  <si>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</si>
  <si>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</si>
  <si>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</si>
  <si>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</si>
  <si>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</si>
  <si>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</si>
  <si>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</si>
  <si>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</si>
  <si>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</si>
  <si>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</si>
  <si>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</si>
  <si>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</si>
  <si>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</si>
  <si>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</si>
  <si>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</si>
  <si>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</si>
  <si>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</si>
  <si>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</si>
  <si>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</si>
  <si>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</si>
  <si>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</si>
  <si>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</si>
  <si>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</si>
  <si>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</si>
  <si>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</si>
  <si>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</si>
  <si>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</si>
  <si>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</si>
  <si>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</si>
  <si>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</si>
  <si>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</si>
  <si>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</si>
  <si>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</si>
  <si>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</si>
  <si>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</si>
  <si>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</si>
  <si>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</si>
  <si>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</si>
  <si>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</si>
  <si>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</si>
  <si>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</si>
  <si>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</si>
  <si>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</si>
  <si>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</si>
  <si>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</si>
  <si>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</si>
  <si>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</si>
  <si>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</si>
  <si>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</si>
  <si>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</si>
  <si>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</si>
  <si>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</si>
  <si>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</si>
  <si>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</si>
  <si>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</si>
  <si>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</si>
  <si>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</si>
  <si>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</si>
  <si>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</si>
  <si>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</si>
  <si>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</si>
  <si>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</si>
  <si>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</si>
  <si>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</si>
  <si>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</si>
  <si>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</si>
  <si>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</si>
  <si>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</si>
  <si>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</si>
  <si>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</si>
  <si>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</si>
  <si>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</si>
  <si>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</si>
  <si>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</si>
  <si>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</si>
  <si>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</si>
  <si>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</si>
  <si>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</si>
  <si>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</si>
  <si>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</si>
  <si>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</si>
  <si>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</si>
  <si>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</si>
  <si>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</si>
  <si>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</si>
  <si>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</si>
  <si>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</si>
  <si>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</si>
  <si>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</si>
  <si>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</si>
  <si>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</si>
  <si>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</si>
  <si>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</si>
  <si>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</si>
  <si>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</si>
  <si>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</si>
  <si>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</si>
  <si>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</si>
  <si>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</si>
  <si>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</si>
  <si>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</si>
  <si>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</si>
  <si>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</si>
  <si>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</si>
  <si>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</si>
  <si>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</si>
  <si>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</si>
  <si>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</si>
  <si>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</si>
  <si>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</si>
  <si>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</si>
  <si>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</si>
  <si>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</si>
  <si>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</si>
  <si>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</si>
  <si>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</si>
  <si>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</si>
  <si>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</si>
  <si>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</si>
  <si>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</si>
  <si>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</si>
  <si>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</si>
  <si>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</si>
  <si>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</si>
  <si>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</si>
  <si>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</si>
  <si>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</si>
  <si>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</si>
  <si>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</si>
  <si>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</si>
  <si>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</si>
  <si>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</si>
  <si>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</si>
  <si>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</si>
  <si>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</si>
  <si>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</si>
  <si>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</si>
  <si>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</si>
  <si>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</si>
  <si>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</si>
  <si>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</si>
  <si>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</si>
  <si>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</si>
  <si>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</si>
  <si>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</si>
  <si>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</si>
  <si>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</si>
  <si>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</si>
  <si>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</si>
  <si>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</si>
  <si>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</si>
  <si>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</si>
  <si>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</si>
  <si>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</si>
  <si>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</si>
  <si>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</si>
  <si>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</si>
  <si>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</si>
  <si>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</si>
  <si>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</si>
  <si>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</si>
  <si>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</si>
  <si>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</si>
  <si>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</si>
  <si>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</si>
  <si>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</si>
  <si>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</si>
  <si>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</si>
  <si>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</si>
  <si>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</si>
  <si>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</si>
  <si>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</si>
  <si>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</si>
  <si>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</si>
  <si>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</si>
  <si>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</si>
  <si>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</si>
  <si>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</si>
  <si>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</si>
  <si>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</si>
  <si>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</si>
  <si>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</si>
  <si>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</si>
  <si>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</si>
  <si>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</si>
  <si>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</si>
  <si>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</si>
  <si>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</si>
  <si>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</si>
  <si>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</si>
  <si>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</si>
  <si>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</si>
  <si>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</si>
  <si>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</si>
  <si>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</si>
  <si>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</si>
  <si>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</si>
  <si>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</si>
  <si>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</si>
  <si>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</si>
  <si>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</si>
  <si>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</si>
  <si>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</si>
  <si>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</si>
  <si>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</si>
  <si>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</si>
  <si>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</si>
  <si>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</si>
  <si>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</si>
  <si>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</si>
  <si>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</si>
  <si>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</si>
  <si>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</si>
  <si>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</si>
  <si>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</si>
  <si>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</si>
  <si>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</si>
  <si>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</si>
  <si>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</si>
  <si>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</si>
  <si>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</si>
  <si>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</si>
  <si>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</si>
  <si>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</si>
  <si>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</si>
  <si>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</si>
  <si>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</si>
  <si>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</si>
  <si>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</si>
  <si>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</si>
  <si>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</si>
  <si>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</si>
  <si>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</si>
  <si>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</si>
  <si>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</si>
  <si>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</si>
  <si>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</si>
  <si>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</si>
  <si>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</si>
  <si>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</si>
  <si>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</si>
  <si>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</si>
  <si>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</si>
  <si>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</si>
  <si>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</si>
  <si>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</si>
  <si>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</si>
  <si>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</si>
  <si>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</si>
  <si>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</si>
  <si>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</si>
  <si>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</si>
  <si>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</si>
  <si>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</si>
  <si>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</si>
  <si>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</si>
  <si>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</si>
  <si>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</si>
  <si>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</si>
  <si>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</si>
  <si>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</si>
  <si>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</si>
  <si>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</si>
  <si>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</si>
  <si>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</si>
  <si>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</si>
  <si>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</si>
  <si>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</si>
  <si>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</si>
  <si>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</si>
  <si>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</si>
  <si>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</si>
  <si>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</si>
  <si>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</si>
  <si>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</si>
  <si>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</si>
  <si>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</si>
  <si>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</si>
  <si>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</si>
  <si>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</si>
  <si>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</si>
  <si>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</si>
  <si>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</si>
  <si>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</si>
  <si>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</si>
  <si>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</si>
  <si>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</si>
  <si>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</si>
  <si>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</si>
  <si>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</si>
  <si>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</si>
  <si>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</si>
  <si>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</si>
  <si>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</si>
  <si>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</si>
  <si>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</si>
  <si>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</si>
  <si>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</si>
  <si>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</si>
  <si>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</si>
  <si>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</si>
  <si>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</si>
  <si>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</si>
  <si>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</si>
  <si>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</si>
  <si>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</si>
  <si>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</si>
  <si>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</si>
  <si>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</si>
  <si>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</si>
  <si>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</si>
  <si>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</si>
  <si>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</si>
  <si>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</si>
  <si>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</si>
  <si>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</si>
  <si>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</si>
  <si>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</si>
  <si>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</si>
  <si>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</si>
  <si>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</si>
  <si>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</si>
  <si>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</si>
  <si>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</si>
  <si>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</si>
  <si>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</si>
  <si>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</si>
  <si>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</si>
  <si>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</si>
  <si>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</si>
  <si>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</si>
  <si>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</si>
  <si>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</si>
  <si>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</si>
  <si>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</si>
  <si>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</si>
  <si>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</si>
  <si>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</si>
  <si>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</si>
  <si>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</si>
  <si>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</si>
  <si>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</si>
  <si>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</si>
  <si>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</si>
  <si>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</si>
  <si>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</si>
  <si>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</si>
  <si>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</si>
  <si>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</si>
  <si>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</si>
  <si>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</si>
  <si>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</si>
  <si>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</si>
  <si>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</si>
  <si>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</si>
  <si>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</si>
  <si>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</si>
  <si>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</si>
  <si>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</si>
  <si>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</si>
  <si>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</si>
  <si>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</si>
  <si>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</si>
  <si>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</si>
  <si>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</si>
  <si>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</si>
  <si>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</si>
  <si>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</si>
  <si>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</si>
  <si>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</si>
  <si>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</si>
  <si>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</si>
  <si>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</si>
  <si>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</si>
  <si>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</si>
  <si>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</si>
  <si>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</si>
  <si>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</si>
  <si>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</si>
  <si>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</si>
  <si>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</si>
  <si>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</si>
  <si>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</si>
  <si>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</si>
  <si>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</si>
  <si>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</si>
  <si>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</si>
  <si>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</si>
  <si>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</si>
  <si>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</si>
  <si>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</si>
  <si>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</si>
  <si>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</si>
  <si>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</si>
  <si>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</si>
  <si>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</si>
  <si>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</si>
  <si>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</si>
  <si>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</si>
  <si>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</si>
  <si>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</si>
  <si>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</si>
  <si>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</si>
  <si>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</si>
  <si>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</si>
  <si>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</si>
  <si>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</si>
  <si>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</si>
  <si>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</si>
  <si>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</si>
  <si>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</si>
  <si>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</si>
  <si>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</si>
  <si>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</si>
  <si>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</si>
  <si>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</si>
  <si>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</si>
  <si>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</si>
  <si>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</si>
  <si>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</si>
  <si>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</si>
  <si>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</si>
  <si>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</si>
  <si>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</si>
  <si>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</si>
  <si>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</si>
  <si>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</si>
  <si>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</si>
  <si>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</si>
  <si>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</si>
  <si>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</si>
  <si>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</si>
  <si>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</si>
  <si>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</si>
  <si>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</si>
  <si>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</si>
  <si>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</si>
  <si>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</si>
  <si>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</si>
  <si>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</si>
  <si>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</si>
  <si>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</si>
  <si>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</si>
  <si>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</si>
  <si>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</si>
  <si>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</si>
  <si>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</si>
  <si>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</si>
  <si>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</si>
  <si>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</si>
  <si>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</si>
  <si>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</si>
  <si>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</si>
  <si>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</si>
  <si>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</si>
  <si>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</si>
  <si>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</si>
  <si>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</si>
  <si>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</si>
  <si>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</si>
  <si>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</si>
  <si>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</si>
  <si>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</si>
  <si>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</si>
  <si>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</si>
  <si>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</si>
  <si>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</si>
  <si>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</si>
  <si>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</si>
  <si>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</si>
  <si>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</si>
  <si>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</si>
  <si>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</si>
  <si>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</si>
  <si>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</si>
  <si>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</si>
  <si>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</si>
  <si>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</si>
  <si>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</si>
  <si>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</si>
  <si>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</si>
  <si>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</si>
  <si>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</si>
  <si>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</si>
  <si>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</si>
  <si>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</si>
  <si>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</si>
  <si>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</si>
  <si>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</si>
  <si>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</si>
  <si>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</si>
  <si>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</si>
  <si>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</si>
  <si>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</si>
  <si>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</si>
  <si>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</si>
  <si>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</si>
  <si>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</si>
  <si>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</si>
  <si>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</si>
  <si>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</si>
  <si>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</si>
  <si>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</si>
  <si>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</si>
  <si>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</si>
  <si>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</si>
  <si>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</si>
  <si>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</si>
  <si>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</si>
  <si>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</si>
  <si>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</si>
  <si>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</si>
  <si>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</si>
  <si>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</si>
  <si>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</si>
  <si>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</si>
  <si>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</si>
  <si>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</si>
  <si>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</si>
  <si>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</si>
  <si>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</si>
  <si>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</si>
  <si>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</si>
  <si>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</si>
  <si>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</si>
  <si>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</si>
  <si>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</si>
  <si>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</si>
  <si>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</si>
  <si>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</si>
  <si>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</si>
  <si>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</si>
  <si>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</si>
  <si>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</si>
  <si>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</si>
  <si>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</si>
  <si>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</si>
  <si>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</si>
  <si>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</si>
  <si>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</si>
  <si>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</si>
  <si>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</si>
  <si>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</si>
  <si>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</si>
  <si>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</si>
  <si>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</si>
  <si>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</si>
  <si>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</si>
  <si>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</si>
  <si>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</si>
  <si>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</si>
  <si>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</si>
  <si>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</si>
  <si>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</si>
  <si>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</si>
  <si>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</si>
  <si>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</si>
  <si>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</si>
  <si>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</si>
  <si>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</si>
  <si>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</si>
  <si>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</si>
  <si>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</si>
  <si>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</si>
  <si>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</si>
  <si>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</si>
  <si>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</si>
  <si>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</si>
  <si>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</si>
  <si>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</si>
  <si>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</si>
  <si>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</si>
  <si>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</si>
  <si>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</si>
  <si>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</si>
  <si>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</si>
  <si>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</si>
  <si>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</si>
  <si>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</si>
  <si>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</si>
  <si>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</si>
  <si>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</si>
  <si>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</si>
  <si>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</si>
  <si>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</si>
  <si>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</si>
  <si>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</si>
  <si>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</si>
  <si>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</si>
  <si>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</si>
  <si>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</si>
  <si>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</si>
  <si>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</si>
  <si>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</si>
  <si>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</si>
  <si>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</si>
  <si>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</si>
  <si>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</si>
  <si>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</si>
  <si>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</si>
  <si>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</si>
  <si>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</si>
  <si>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</si>
  <si>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</si>
  <si>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</si>
  <si>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</si>
  <si>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</si>
  <si>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</si>
  <si>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</si>
  <si>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</si>
  <si>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</si>
  <si>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</si>
  <si>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</si>
  <si>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</si>
  <si>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</si>
  <si>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</si>
  <si>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</si>
  <si>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</si>
  <si>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</si>
  <si>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</si>
  <si>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</si>
  <si>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</si>
  <si>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</si>
  <si>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</si>
  <si>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</si>
  <si>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</si>
  <si>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</si>
  <si>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</si>
  <si>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</si>
  <si>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</si>
  <si>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</si>
  <si>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</si>
  <si>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</si>
  <si>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</si>
  <si>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</si>
  <si>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</si>
  <si>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</si>
  <si>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</si>
  <si>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</si>
  <si>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</si>
  <si>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</si>
  <si>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</si>
  <si>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</si>
  <si>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</si>
  <si>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</si>
  <si>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</si>
  <si>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</si>
  <si>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</si>
  <si>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</si>
  <si>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</si>
  <si>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</si>
  <si>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</si>
  <si>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</si>
  <si>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</si>
  <si>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</si>
  <si>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</si>
  <si>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</si>
  <si>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</si>
  <si>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</si>
  <si>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</si>
  <si>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</si>
  <si>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</si>
  <si>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</si>
  <si>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</si>
  <si>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</si>
  <si>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</si>
  <si>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</si>
  <si>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</si>
  <si>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</si>
  <si>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</si>
  <si>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</si>
  <si>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</si>
  <si>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</si>
  <si>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</si>
  <si>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</si>
  <si>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</si>
  <si>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</si>
  <si>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</si>
  <si>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</si>
  <si>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</si>
  <si>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</si>
  <si>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</si>
  <si>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</si>
  <si>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</si>
  <si>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</si>
  <si>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</si>
  <si>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</si>
  <si>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</si>
  <si>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</si>
  <si>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</si>
  <si>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</si>
  <si>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</si>
  <si>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</si>
  <si>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</si>
  <si>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</si>
  <si>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</si>
  <si>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</si>
  <si>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</si>
  <si>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</si>
  <si>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</si>
  <si>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</si>
  <si>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</si>
  <si>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</si>
  <si>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</si>
  <si>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</si>
  <si>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</si>
  <si>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</si>
  <si>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</si>
  <si>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</si>
  <si>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</si>
  <si>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</si>
  <si>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</si>
  <si>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</si>
  <si>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</si>
  <si>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</si>
  <si>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</si>
  <si>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</si>
  <si>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</si>
  <si>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</si>
  <si>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</si>
  <si>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</si>
  <si>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</si>
  <si>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</si>
  <si>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</si>
  <si>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</si>
  <si>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</si>
  <si>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</si>
  <si>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</si>
  <si>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</si>
  <si>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</si>
  <si>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</si>
  <si>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</si>
  <si>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</si>
  <si>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</si>
  <si>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</si>
  <si>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</si>
  <si>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</si>
  <si>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</si>
  <si>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</si>
  <si>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</si>
  <si>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</si>
  <si>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</si>
  <si>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</si>
  <si>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</si>
  <si>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</si>
  <si>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</si>
  <si>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</si>
  <si>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</si>
  <si>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</si>
  <si>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</si>
  <si>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</si>
  <si>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</si>
  <si>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</si>
  <si>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</si>
  <si>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</si>
  <si>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</si>
  <si>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</si>
  <si>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</si>
  <si>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</si>
  <si>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</si>
  <si>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</si>
  <si>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</si>
  <si>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</si>
  <si>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</si>
  <si>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</si>
  <si>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</si>
  <si>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</si>
  <si>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</si>
  <si>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</si>
  <si>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</si>
  <si>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</si>
  <si>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</si>
  <si>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</si>
  <si>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</si>
  <si>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</si>
  <si>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</si>
  <si>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</si>
  <si>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</si>
  <si>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</si>
  <si>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</si>
  <si>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</si>
  <si>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</si>
  <si>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</si>
  <si>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</si>
  <si>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</si>
  <si>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</si>
  <si>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</si>
  <si>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</si>
  <si>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</si>
  <si>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</si>
  <si>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</si>
  <si>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</si>
  <si>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</si>
  <si>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</si>
  <si>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</si>
  <si>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</si>
  <si>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</si>
  <si>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</si>
  <si>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</si>
  <si>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</si>
  <si>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</si>
  <si>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</si>
  <si>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</si>
  <si>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</si>
  <si>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</si>
  <si>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</si>
  <si>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</si>
  <si>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</si>
  <si>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</si>
  <si>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</si>
  <si>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</si>
  <si>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</si>
  <si>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</si>
  <si>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</si>
  <si>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</si>
  <si>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</si>
  <si>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</si>
  <si>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</si>
  <si>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</si>
  <si>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</si>
  <si>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</si>
  <si>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</si>
  <si>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</si>
  <si>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</si>
  <si>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</si>
  <si>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</si>
  <si>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</si>
  <si>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</si>
  <si>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</si>
  <si>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</si>
  <si>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</si>
  <si>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</si>
  <si>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</si>
  <si>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</si>
  <si>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</si>
  <si>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</si>
  <si>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</si>
  <si>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</si>
  <si>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</si>
  <si>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</si>
  <si>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</si>
  <si>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</si>
  <si>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</si>
  <si>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</si>
  <si>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</si>
  <si>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</si>
  <si>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</si>
  <si>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</si>
  <si>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</si>
  <si>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</si>
  <si>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</si>
  <si>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</si>
  <si>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</si>
  <si>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</si>
  <si>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</si>
  <si>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</si>
  <si>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</si>
  <si>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</si>
  <si>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</si>
  <si>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</si>
  <si>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</si>
  <si>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</si>
  <si>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</si>
  <si>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</si>
  <si>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</si>
  <si>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</si>
  <si>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</si>
  <si>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</si>
  <si>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</si>
  <si>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</si>
  <si>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</si>
  <si>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</si>
  <si>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</si>
  <si>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</si>
  <si>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</si>
  <si>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</si>
  <si>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</si>
  <si>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</si>
  <si>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</si>
  <si>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</si>
  <si>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</si>
  <si>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</si>
  <si>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</si>
  <si>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</si>
  <si>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</si>
  <si>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</si>
  <si>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</si>
  <si>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</si>
  <si>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</si>
  <si>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</si>
  <si>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</si>
  <si>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</si>
  <si>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</si>
  <si>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</si>
  <si>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</si>
  <si>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</si>
  <si>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</si>
  <si>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</si>
  <si>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</si>
  <si>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</si>
  <si>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</si>
  <si>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</si>
  <si>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</si>
  <si>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</si>
  <si>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</si>
  <si>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</si>
  <si>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</si>
  <si>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</si>
  <si>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</si>
  <si>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</si>
  <si>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</si>
  <si>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</si>
  <si>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</si>
  <si>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</si>
  <si>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</si>
  <si>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</si>
  <si>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</si>
  <si>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</si>
  <si>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</si>
  <si>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</si>
  <si>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</si>
  <si>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</si>
  <si>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</si>
  <si>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</si>
  <si>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</si>
  <si>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</si>
  <si>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</si>
  <si>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</si>
  <si>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</si>
  <si>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</si>
  <si>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</si>
  <si>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</si>
  <si>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</si>
  <si>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</si>
  <si>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</si>
  <si>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</si>
  <si>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</si>
  <si>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</si>
  <si>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</si>
  <si>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</si>
  <si>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</si>
  <si>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</si>
  <si>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</si>
  <si>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</si>
  <si>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</si>
  <si>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</si>
  <si>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</si>
  <si>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</si>
  <si>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</si>
  <si>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</si>
  <si>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</si>
  <si>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</si>
  <si>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</si>
  <si>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</si>
  <si>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</si>
  <si>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</si>
  <si>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</si>
  <si>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</si>
  <si>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</si>
  <si>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</si>
  <si>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</si>
  <si>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</si>
  <si>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</si>
  <si>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</si>
  <si>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</si>
  <si>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</si>
  <si>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</si>
  <si>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</si>
  <si>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</si>
  <si>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</si>
  <si>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</si>
  <si>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</si>
  <si>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</si>
  <si>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</si>
  <si>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</si>
  <si>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</si>
  <si>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</si>
  <si>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</si>
  <si>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</si>
  <si>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</si>
  <si>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</si>
  <si>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</si>
  <si>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</si>
  <si>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</si>
  <si>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</si>
  <si>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</si>
  <si>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</si>
  <si>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</si>
  <si>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</si>
  <si>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</si>
  <si>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</si>
  <si>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</si>
  <si>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</si>
  <si>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</si>
  <si>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</si>
  <si>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</si>
  <si>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</si>
  <si>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</si>
  <si>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</si>
  <si>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</si>
  <si>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</si>
  <si>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</si>
  <si>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</si>
  <si>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</si>
  <si>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</si>
  <si>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</si>
  <si>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</si>
  <si>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</si>
  <si>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</si>
  <si>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</si>
  <si>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</si>
  <si>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</si>
  <si>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</si>
  <si>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</si>
  <si>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</si>
  <si>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</si>
  <si>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</si>
  <si>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</si>
  <si>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</si>
  <si>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</si>
  <si>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</si>
  <si>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</si>
  <si>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</si>
  <si>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</si>
  <si>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</si>
  <si>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</si>
  <si>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</si>
  <si>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</si>
  <si>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</si>
  <si>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</si>
  <si>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</si>
  <si>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</si>
  <si>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</si>
  <si>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</si>
  <si>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</si>
  <si>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</si>
  <si>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</si>
  <si>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</si>
  <si>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</si>
  <si>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</si>
  <si>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</si>
  <si>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</si>
  <si>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</si>
  <si>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</si>
  <si>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</si>
  <si>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</si>
  <si>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</si>
  <si>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</si>
  <si>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</si>
  <si>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</si>
  <si>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</si>
  <si>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</si>
  <si>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</si>
  <si>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</si>
  <si>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</si>
  <si>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</si>
  <si>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</si>
  <si>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</si>
  <si>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</si>
  <si>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</si>
  <si>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</si>
  <si>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</si>
  <si>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</si>
  <si>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</si>
  <si>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</si>
  <si>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</si>
  <si>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</si>
  <si>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</si>
  <si>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</si>
  <si>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</si>
  <si>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</si>
  <si>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</si>
  <si>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</si>
  <si>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</si>
  <si>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</si>
  <si>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</si>
  <si>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</si>
  <si>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</si>
  <si>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</si>
  <si>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</si>
  <si>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</si>
  <si>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</si>
  <si>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</si>
  <si>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</si>
  <si>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</si>
  <si>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</si>
  <si>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</si>
  <si>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</si>
  <si>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</si>
  <si>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</si>
  <si>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</si>
  <si>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</si>
  <si>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</si>
  <si>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</si>
  <si>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</si>
  <si>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</si>
  <si>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</si>
  <si>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</si>
  <si>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</si>
  <si>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</si>
  <si>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</si>
  <si>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</si>
  <si>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</si>
  <si>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</si>
  <si>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</si>
  <si>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</si>
  <si>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</si>
  <si>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</si>
  <si>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</si>
  <si>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</si>
  <si>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</si>
  <si>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</si>
  <si>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</si>
  <si>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</si>
  <si>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</si>
  <si>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</si>
  <si>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</si>
  <si>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</si>
  <si>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</si>
  <si>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</si>
  <si>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</si>
  <si>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</si>
  <si>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</si>
  <si>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</si>
  <si>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</si>
  <si>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</si>
  <si>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</si>
  <si>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</si>
  <si>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</si>
  <si>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</si>
  <si>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</si>
  <si>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</si>
  <si>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</si>
  <si>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</si>
  <si>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</si>
  <si>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</si>
  <si>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</si>
  <si>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</si>
  <si>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</si>
  <si>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</si>
  <si>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</si>
  <si>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</si>
  <si>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</si>
  <si>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</si>
  <si>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</si>
  <si>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</si>
  <si>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</si>
  <si>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</si>
  <si>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</si>
  <si>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</si>
  <si>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</si>
  <si>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</si>
  <si>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</si>
  <si>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</si>
  <si>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</si>
  <si>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</si>
  <si>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</si>
  <si>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</si>
  <si>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</si>
  <si>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</si>
  <si>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</si>
  <si>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</si>
  <si>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</si>
  <si>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</si>
  <si>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</si>
  <si>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</si>
  <si>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</si>
  <si>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</si>
  <si>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</si>
  <si>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</si>
  <si>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</si>
  <si>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</si>
  <si>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</si>
  <si>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</si>
  <si>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</si>
  <si>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</si>
  <si>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</si>
  <si>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</si>
  <si>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</si>
  <si>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</si>
  <si>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</si>
  <si>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</si>
  <si>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</si>
  <si>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</si>
  <si>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</si>
  <si>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</si>
  <si>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</si>
  <si>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</si>
  <si>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</si>
  <si>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</si>
  <si>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</si>
  <si>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</si>
  <si>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</si>
  <si>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</si>
  <si>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</si>
  <si>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</si>
  <si>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</si>
  <si>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</si>
  <si>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</si>
  <si>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</si>
  <si>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</si>
  <si>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</si>
  <si>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</si>
  <si>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</si>
  <si>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</si>
  <si>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</si>
  <si>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</si>
  <si>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</si>
  <si>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</si>
  <si>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</si>
  <si>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</si>
  <si>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</si>
  <si>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</si>
  <si>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</si>
  <si>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</si>
  <si>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</si>
  <si>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</si>
  <si>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</si>
  <si>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</si>
  <si>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</si>
  <si>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</si>
  <si>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</si>
  <si>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</si>
  <si>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</si>
  <si>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</si>
  <si>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</si>
  <si>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</si>
  <si>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</si>
  <si>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</si>
  <si>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</si>
  <si>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</si>
  <si>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</si>
  <si>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</si>
  <si>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</si>
  <si>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</si>
  <si>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</si>
  <si>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</si>
  <si>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</si>
  <si>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</si>
  <si>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</si>
  <si>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</si>
  <si>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</si>
  <si>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</si>
  <si>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</si>
  <si>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</si>
  <si>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</si>
  <si>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</si>
  <si>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</si>
  <si>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</si>
  <si>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</si>
  <si>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</si>
  <si>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</si>
  <si>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</si>
  <si>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</si>
  <si>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</si>
  <si>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</si>
  <si>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</si>
  <si>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</si>
  <si>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</si>
  <si>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</si>
  <si>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</si>
  <si>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</si>
  <si>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</si>
  <si>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</si>
  <si>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</si>
  <si>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</si>
  <si>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</si>
  <si>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</si>
  <si>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</si>
  <si>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</si>
  <si>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</si>
  <si>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</si>
  <si>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</si>
  <si>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</si>
  <si>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</si>
  <si>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</si>
  <si>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</si>
  <si>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</si>
  <si>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</si>
  <si>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</si>
  <si>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</si>
  <si>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</si>
  <si>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</si>
  <si>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</si>
  <si>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</si>
  <si>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</si>
  <si>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</si>
  <si>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</si>
  <si>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</si>
  <si>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</si>
  <si>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</si>
  <si>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</si>
  <si>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</si>
  <si>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</si>
  <si>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</si>
  <si>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</si>
  <si>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</si>
  <si>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</si>
  <si>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</si>
  <si>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</si>
  <si>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</si>
  <si>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</si>
  <si>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</si>
  <si>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</si>
  <si>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</si>
  <si>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</si>
  <si>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</si>
  <si>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</si>
  <si>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</si>
  <si>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</si>
  <si>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</si>
  <si>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</si>
  <si>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</si>
  <si>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</si>
  <si>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</si>
  <si>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</si>
  <si>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</si>
  <si>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</si>
  <si>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</si>
  <si>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</si>
  <si>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</si>
  <si>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</si>
  <si>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</si>
  <si>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</si>
  <si>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</si>
  <si>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</si>
  <si>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</si>
  <si>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</si>
  <si>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</si>
  <si>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</si>
  <si>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</si>
  <si>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</si>
  <si>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</si>
  <si>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</si>
  <si>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</si>
  <si>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</si>
  <si>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</si>
  <si>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</si>
  <si>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</si>
  <si>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</si>
  <si>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</si>
  <si>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</si>
  <si>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</si>
  <si>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</si>
  <si>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</si>
  <si>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</si>
  <si>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</si>
  <si>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</si>
  <si>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</si>
  <si>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</si>
  <si>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</si>
  <si>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</si>
  <si>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</si>
  <si>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</si>
  <si>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</si>
  <si>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</si>
  <si>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</si>
  <si>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</si>
  <si>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</si>
  <si>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</si>
  <si>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</si>
  <si>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</si>
  <si>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</si>
  <si>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</si>
  <si>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</si>
  <si>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</si>
  <si>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</si>
  <si>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</si>
  <si>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</si>
  <si>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</si>
  <si>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</si>
  <si>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</si>
  <si>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</si>
  <si>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</si>
  <si>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</si>
  <si>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</si>
  <si>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</si>
  <si>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</si>
  <si>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</si>
  <si>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</si>
  <si>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</si>
  <si>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</si>
  <si>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</si>
  <si>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</si>
  <si>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</si>
  <si>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</si>
  <si>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</si>
  <si>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</si>
  <si>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</si>
  <si>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</si>
  <si>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</si>
  <si>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</si>
  <si>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</si>
  <si>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</si>
  <si>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</si>
  <si>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</si>
  <si>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</si>
  <si>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</si>
  <si>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</si>
  <si>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</si>
  <si>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</si>
  <si>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</si>
  <si>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</si>
  <si>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</si>
  <si>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</si>
  <si>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</si>
  <si>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</si>
  <si>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</si>
  <si>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</si>
  <si>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</si>
  <si>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</si>
  <si>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</si>
  <si>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</si>
  <si>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</si>
  <si>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</si>
  <si>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</si>
  <si>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</si>
  <si>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</si>
  <si>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</si>
  <si>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</si>
  <si>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</si>
  <si>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</si>
  <si>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</si>
  <si>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</si>
  <si>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</si>
  <si>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</si>
  <si>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</si>
  <si>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</si>
  <si>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</si>
  <si>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</si>
  <si>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</si>
  <si>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</si>
  <si>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</si>
  <si>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</si>
  <si>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</si>
  <si>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</si>
  <si>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</si>
  <si>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</si>
  <si>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</si>
  <si>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</si>
  <si>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</si>
  <si>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</si>
  <si>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</si>
  <si>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</si>
  <si>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</si>
  <si>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</si>
  <si>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</si>
  <si>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</si>
  <si>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</si>
  <si>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</si>
  <si>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</si>
  <si>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</si>
  <si>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</si>
  <si>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</si>
  <si>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</si>
  <si>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</si>
  <si>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</si>
  <si>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</si>
  <si>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</si>
  <si>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</si>
  <si>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</si>
  <si>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</si>
  <si>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</si>
  <si>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</si>
  <si>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</si>
  <si>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</si>
  <si>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</si>
  <si>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</si>
  <si>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</si>
  <si>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</si>
  <si>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</si>
  <si>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</si>
  <si>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</si>
  <si>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</si>
  <si>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</si>
  <si>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</si>
  <si>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</si>
  <si>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</si>
  <si>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</si>
  <si>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</si>
  <si>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</si>
  <si>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</si>
  <si>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</si>
  <si>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</si>
  <si>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</si>
  <si>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</si>
  <si>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</si>
  <si>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</si>
  <si>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</si>
  <si>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</si>
  <si>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</si>
  <si>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</si>
  <si>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</si>
  <si>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</si>
  <si>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</si>
  <si>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</si>
  <si>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</si>
  <si>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</si>
  <si>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</si>
  <si>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</si>
  <si>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</si>
  <si>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</si>
  <si>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</si>
  <si>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</si>
  <si>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</si>
  <si>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</si>
  <si>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</si>
  <si>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</si>
  <si>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</si>
  <si>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</si>
  <si>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</si>
  <si>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</si>
  <si>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</si>
  <si>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</si>
  <si>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</si>
  <si>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</si>
  <si>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</si>
  <si>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</si>
  <si>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</si>
  <si>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</si>
  <si>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</si>
  <si>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</si>
  <si>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</si>
  <si>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</si>
  <si>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</si>
  <si>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</si>
  <si>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</si>
  <si>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</si>
  <si>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</si>
  <si>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</si>
  <si>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</si>
  <si>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</si>
  <si>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</si>
  <si>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</si>
  <si>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</si>
  <si>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</si>
  <si>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</si>
  <si>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</si>
  <si>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</si>
  <si>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</si>
  <si>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</si>
  <si>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</si>
  <si>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</si>
  <si>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</si>
  <si>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</si>
  <si>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</si>
  <si>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</si>
  <si>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</si>
  <si>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</si>
  <si>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</si>
  <si>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</si>
  <si>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</si>
  <si>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</si>
  <si>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</si>
  <si>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</si>
  <si>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</si>
  <si>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</si>
  <si>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</si>
  <si>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</si>
  <si>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</si>
  <si>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</si>
  <si>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</si>
  <si>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</si>
  <si>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</si>
  <si>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</si>
  <si>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</si>
  <si>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</si>
  <si>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</si>
  <si>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</si>
  <si>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</si>
  <si>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</si>
  <si>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</si>
  <si>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</si>
  <si>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</si>
  <si>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</si>
  <si>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</si>
  <si>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</si>
  <si>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</si>
  <si>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</si>
  <si>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</si>
  <si>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</si>
  <si>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</si>
  <si>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</si>
  <si>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</si>
  <si>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</si>
  <si>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</si>
  <si>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</si>
  <si>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</si>
  <si>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</si>
  <si>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</si>
  <si>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</si>
  <si>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</si>
  <si>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</si>
  <si>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</si>
  <si>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</si>
  <si>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</si>
  <si>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</si>
  <si>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</si>
  <si>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</si>
  <si>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</si>
  <si>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</si>
  <si>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</si>
  <si>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</si>
  <si>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</si>
  <si>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</si>
  <si>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</si>
  <si>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</si>
  <si>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</si>
  <si>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</si>
  <si>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</si>
  <si>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</si>
  <si>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</si>
  <si>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</si>
  <si>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</si>
  <si>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</si>
  <si>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</si>
  <si>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</si>
  <si>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</si>
  <si>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</si>
  <si>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</si>
  <si>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</si>
  <si>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</si>
  <si>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</si>
  <si>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</si>
  <si>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</si>
  <si>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</si>
  <si>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</si>
  <si>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</si>
  <si>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</si>
  <si>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</si>
  <si>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</si>
  <si>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</si>
  <si>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</si>
  <si>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</si>
  <si>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</si>
  <si>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</si>
  <si>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</si>
  <si>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</si>
  <si>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</si>
  <si>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</si>
  <si>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</si>
  <si>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</si>
  <si>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</si>
  <si>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</si>
  <si>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</si>
  <si>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</si>
  <si>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</si>
  <si>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</si>
  <si>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</si>
  <si>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</si>
  <si>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</si>
  <si>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</si>
  <si>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</si>
  <si>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</si>
  <si>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</si>
  <si>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</si>
  <si>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</si>
  <si>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</si>
  <si>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</si>
  <si>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</si>
  <si>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</si>
  <si>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</si>
  <si>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</si>
  <si>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</si>
  <si>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</si>
  <si>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</si>
  <si>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</si>
  <si>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</si>
  <si>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</si>
  <si>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</si>
  <si>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</si>
  <si>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</si>
  <si>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</si>
  <si>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</si>
  <si>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</si>
  <si>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</si>
  <si>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</si>
  <si>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</si>
  <si>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</si>
  <si>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</si>
  <si>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</si>
  <si>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</si>
  <si>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</si>
  <si>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</si>
  <si>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</si>
  <si>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</si>
  <si>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</si>
  <si>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</si>
  <si>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</si>
  <si>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</si>
  <si>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</si>
  <si>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</si>
  <si>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</si>
  <si>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</si>
  <si>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</si>
  <si>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</si>
  <si>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</si>
  <si>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</si>
  <si>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</si>
  <si>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</si>
  <si>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</si>
  <si>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</si>
  <si>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</si>
  <si>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</si>
  <si>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</si>
  <si>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</si>
  <si>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</si>
  <si>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</si>
  <si>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</si>
  <si>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</si>
  <si>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</si>
  <si>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</si>
  <si>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</si>
  <si>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</si>
  <si>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</si>
  <si>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</si>
  <si>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</si>
  <si>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</si>
  <si>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</si>
  <si>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</si>
  <si>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</si>
  <si>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</si>
  <si>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</si>
  <si>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</si>
  <si>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</si>
  <si>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</si>
  <si>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</si>
  <si>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</si>
  <si>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</si>
  <si>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</si>
  <si>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</si>
  <si>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</si>
  <si>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</si>
  <si>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</si>
  <si>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</si>
  <si>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</si>
  <si>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</si>
  <si>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</si>
  <si>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</si>
  <si>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</si>
  <si>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</si>
  <si>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</si>
  <si>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</si>
  <si>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</si>
  <si>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</si>
  <si>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</si>
  <si>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</si>
  <si>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</si>
  <si>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</si>
  <si>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</si>
  <si>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</si>
  <si>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</si>
  <si>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</si>
  <si>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</si>
  <si>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</si>
  <si>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</si>
  <si>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</si>
  <si>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</si>
  <si>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</si>
  <si>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</si>
  <si>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</si>
  <si>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</si>
  <si>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</si>
  <si>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</si>
  <si>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</si>
  <si>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</si>
  <si>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</si>
  <si>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</si>
  <si>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</si>
  <si>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</si>
  <si>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</si>
  <si>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</si>
  <si>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</si>
  <si>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</si>
  <si>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</si>
  <si>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</si>
  <si>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</si>
  <si>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</si>
  <si>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</si>
  <si>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</si>
  <si>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</si>
  <si>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</si>
  <si>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</si>
  <si>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</si>
  <si>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</si>
  <si>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</si>
  <si>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</si>
  <si>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</si>
  <si>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</si>
  <si>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</si>
  <si>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</si>
  <si>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</si>
  <si>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</si>
  <si>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</si>
  <si>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</si>
  <si>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</si>
  <si>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</si>
  <si>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</si>
  <si>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</si>
  <si>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</si>
  <si>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</si>
  <si>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</si>
  <si>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</si>
  <si>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</si>
  <si>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</si>
  <si>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</si>
  <si>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</si>
  <si>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</si>
  <si>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</si>
  <si>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</si>
  <si>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</si>
  <si>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</si>
  <si>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</si>
  <si>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</si>
  <si>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</si>
  <si>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</si>
  <si>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</si>
  <si>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</si>
  <si>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</si>
  <si>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</si>
  <si>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</si>
  <si>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</si>
  <si>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</si>
  <si>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</si>
  <si>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</si>
  <si>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</si>
  <si>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</si>
  <si>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</si>
  <si>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</si>
  <si>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</si>
  <si>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</si>
  <si>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</si>
  <si>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</si>
  <si>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</si>
  <si>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</si>
  <si>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</si>
  <si>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</si>
  <si>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</si>
  <si>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</si>
  <si>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</si>
  <si>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</si>
  <si>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</si>
  <si>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</si>
  <si>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</si>
  <si>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</si>
  <si>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</si>
  <si>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</si>
  <si>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</si>
  <si>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</si>
  <si>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</si>
  <si>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</si>
  <si>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</si>
  <si>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</si>
  <si>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</si>
  <si>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</si>
  <si>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</si>
  <si>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</si>
  <si>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</si>
  <si>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</si>
  <si>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</si>
  <si>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</si>
  <si>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</si>
  <si>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</si>
  <si>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</si>
  <si>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</si>
  <si>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</si>
  <si>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</si>
  <si>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</si>
  <si>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</si>
  <si>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</si>
  <si>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</si>
  <si>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</si>
  <si>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</si>
  <si>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</si>
  <si>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</si>
  <si>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</si>
  <si>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</si>
  <si>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</si>
  <si>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</si>
  <si>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</si>
  <si>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</si>
  <si>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</si>
  <si>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</si>
  <si>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</si>
  <si>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</si>
  <si>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</si>
  <si>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</si>
  <si>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</si>
  <si>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</si>
  <si>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</si>
  <si>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</si>
  <si>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</si>
  <si>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</si>
  <si>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</si>
  <si>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</si>
  <si>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</si>
  <si>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</si>
  <si>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</si>
  <si>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</si>
  <si>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</si>
  <si>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</si>
  <si>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</si>
  <si>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</si>
  <si>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</si>
  <si>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</si>
  <si>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</si>
  <si>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</si>
  <si>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</si>
  <si>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</si>
  <si>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</si>
  <si>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</si>
  <si>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</si>
  <si>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</si>
  <si>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</si>
  <si>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</si>
  <si>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</si>
  <si>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</si>
  <si>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</si>
  <si>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</si>
  <si>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</si>
  <si>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</si>
  <si>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</si>
  <si>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</si>
  <si>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</si>
  <si>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</si>
  <si>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</si>
  <si>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</si>
  <si>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</si>
  <si>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</si>
  <si>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</si>
  <si>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</si>
  <si>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</si>
  <si>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</si>
  <si>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</si>
  <si>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</si>
  <si>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</si>
  <si>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</si>
  <si>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</si>
  <si>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</si>
  <si>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</si>
  <si>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</si>
  <si>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</si>
  <si>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</si>
  <si>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</si>
  <si>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</si>
  <si>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</si>
  <si>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</si>
  <si>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</si>
  <si>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</si>
  <si>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</si>
  <si>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</si>
  <si>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</si>
  <si>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</si>
  <si>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</si>
  <si>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</si>
  <si>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</si>
  <si>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</si>
  <si>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</si>
  <si>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</si>
  <si>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</si>
  <si>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</si>
  <si>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</si>
  <si>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</si>
  <si>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</si>
  <si>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</si>
  <si>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</si>
  <si>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</si>
  <si>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</si>
  <si>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</si>
  <si>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</si>
  <si>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</si>
  <si>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</si>
  <si>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</si>
  <si>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</si>
  <si>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</si>
  <si>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</si>
  <si>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</si>
  <si>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</si>
  <si>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</si>
  <si>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</si>
  <si>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</si>
  <si>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</si>
  <si>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</si>
  <si>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</si>
  <si>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</si>
  <si>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</si>
  <si>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</si>
  <si>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</si>
  <si>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</si>
  <si>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</si>
  <si>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</si>
  <si>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</si>
  <si>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</si>
  <si>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</si>
  <si>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</si>
  <si>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</si>
  <si>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</si>
  <si>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</si>
  <si>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</si>
  <si>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</si>
  <si>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</si>
  <si>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</si>
  <si>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</si>
  <si>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</si>
  <si>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</si>
  <si>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</si>
  <si>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</si>
  <si>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</si>
  <si>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</si>
  <si>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</si>
  <si>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</si>
  <si>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</si>
  <si>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</si>
  <si>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</si>
  <si>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</si>
  <si>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</si>
  <si>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</si>
  <si>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</si>
  <si>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</si>
  <si>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</si>
  <si>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</si>
  <si>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</si>
  <si>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</si>
  <si>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</si>
  <si>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</si>
  <si>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</si>
  <si>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</si>
  <si>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</si>
  <si>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</si>
  <si>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</si>
  <si>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</si>
  <si>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</si>
  <si>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</si>
  <si>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</si>
  <si>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</si>
  <si>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</si>
  <si>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</si>
  <si>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</si>
  <si>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</si>
  <si>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</si>
  <si>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</si>
  <si>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</si>
  <si>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</si>
  <si>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</si>
  <si>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</si>
  <si>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</si>
  <si>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</si>
  <si>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</si>
  <si>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</si>
  <si>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</si>
  <si>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</si>
  <si>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</si>
  <si>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</si>
  <si>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</si>
  <si>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</si>
  <si>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</si>
  <si>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</si>
  <si>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</si>
  <si>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</si>
  <si>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</si>
  <si>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</si>
  <si>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</si>
  <si>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</si>
  <si>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</si>
  <si>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</si>
  <si>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</si>
  <si>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</si>
  <si>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</si>
  <si>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</si>
  <si>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</si>
  <si>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</si>
  <si>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</si>
  <si>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</si>
  <si>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</si>
  <si>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</si>
  <si>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</si>
  <si>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</si>
  <si>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</si>
  <si>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</si>
  <si>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</si>
  <si>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</si>
  <si>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</si>
  <si>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</si>
  <si>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</si>
  <si>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</si>
  <si>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</si>
  <si>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</si>
  <si>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</si>
  <si>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</si>
  <si>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</si>
  <si>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</si>
  <si>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</si>
  <si>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</si>
  <si>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</si>
  <si>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</si>
  <si>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</si>
  <si>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</si>
  <si>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</si>
  <si>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</si>
  <si>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</si>
  <si>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</si>
  <si>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</si>
  <si>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</si>
  <si>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</si>
  <si>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</si>
  <si>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</si>
  <si>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</si>
  <si>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</si>
  <si>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</si>
  <si>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</si>
  <si>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</si>
  <si>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</si>
  <si>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</si>
  <si>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</si>
  <si>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</si>
  <si>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</si>
  <si>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</si>
  <si>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</si>
  <si>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</si>
  <si>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</si>
  <si>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</si>
  <si>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</si>
  <si>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</si>
  <si>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</si>
  <si>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</si>
  <si>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</si>
  <si>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</si>
  <si>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</si>
  <si>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</si>
  <si>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</si>
  <si>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</si>
  <si>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</si>
  <si>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</si>
  <si>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</si>
  <si>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</si>
  <si>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</si>
  <si>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</si>
  <si>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</si>
  <si>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</si>
  <si>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</si>
  <si>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</si>
  <si>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</si>
  <si>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</si>
  <si>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</si>
  <si>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</si>
  <si>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</si>
  <si>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</si>
  <si>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</si>
  <si>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</si>
  <si>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</si>
  <si>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</si>
  <si>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</si>
  <si>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</si>
  <si>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</si>
  <si>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</si>
  <si>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</si>
  <si>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</si>
  <si>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</si>
  <si>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</si>
  <si>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</si>
  <si>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</si>
  <si>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</si>
  <si>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</si>
  <si>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</si>
  <si>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</si>
  <si>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</si>
  <si>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</si>
  <si>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</si>
  <si>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</si>
  <si>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</si>
  <si>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</si>
  <si>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</si>
  <si>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</si>
  <si>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</si>
  <si>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</si>
  <si>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</si>
  <si>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</si>
  <si>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</si>
  <si>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</si>
  <si>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</si>
  <si>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</si>
  <si>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</si>
  <si>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</si>
  <si>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</si>
  <si>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</si>
  <si>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</si>
  <si>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</si>
  <si>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</si>
  <si>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</si>
  <si>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</si>
  <si>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</si>
  <si>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</si>
  <si>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</si>
  <si>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</si>
  <si>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</si>
  <si>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</si>
  <si>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</si>
  <si>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</si>
  <si>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</si>
  <si>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</si>
  <si>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</si>
  <si>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</si>
  <si>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</si>
  <si>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</si>
  <si>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</si>
  <si>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</si>
  <si>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</si>
  <si>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</si>
  <si>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</si>
  <si>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</si>
  <si>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</si>
  <si>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</si>
  <si>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</si>
  <si>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</si>
  <si>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</si>
  <si>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</si>
  <si>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</si>
  <si>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</si>
  <si>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</si>
  <si>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</si>
  <si>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</si>
  <si>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</si>
  <si>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</si>
  <si>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</si>
  <si>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</si>
  <si>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</si>
  <si>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</si>
  <si>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</si>
  <si>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</si>
  <si>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</si>
  <si>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</si>
  <si>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</si>
  <si>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</si>
  <si>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</si>
  <si>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</si>
  <si>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</si>
  <si>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</si>
  <si>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</si>
  <si>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</si>
  <si>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</si>
  <si>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</si>
  <si>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</si>
  <si>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</si>
  <si>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</si>
  <si>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</si>
  <si>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</si>
  <si>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</si>
  <si>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</si>
  <si>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</si>
  <si>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</si>
  <si>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</si>
  <si>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</si>
  <si>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</si>
  <si>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</si>
  <si>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</si>
  <si>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</si>
  <si>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</si>
  <si>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</si>
  <si>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</si>
  <si>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</si>
  <si>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</si>
  <si>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</si>
  <si>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</si>
  <si>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</si>
  <si>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</si>
  <si>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</si>
  <si>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</si>
  <si>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</si>
  <si>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</si>
  <si>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</si>
  <si>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</si>
  <si>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</si>
  <si>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</si>
  <si>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</si>
  <si>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</si>
  <si>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</si>
  <si>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</si>
  <si>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</si>
  <si>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</si>
  <si>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</si>
  <si>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</si>
  <si>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</si>
  <si>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</si>
  <si>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</si>
  <si>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</si>
  <si>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</si>
  <si>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</si>
  <si>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</si>
  <si>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</si>
  <si>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</si>
  <si>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</si>
  <si>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</si>
  <si>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</si>
  <si>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</si>
  <si>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</si>
  <si>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</si>
  <si>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</si>
  <si>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</si>
  <si>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</si>
  <si>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</si>
  <si>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</si>
  <si>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</si>
  <si>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</si>
  <si>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</si>
  <si>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</si>
  <si>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</si>
  <si>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</si>
  <si>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</si>
  <si>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</si>
  <si>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</si>
  <si>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</si>
  <si>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</si>
  <si>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</si>
  <si>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</si>
  <si>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</si>
  <si>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</si>
  <si>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</si>
  <si>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</si>
  <si>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</si>
  <si>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</si>
  <si>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</si>
  <si>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</si>
  <si>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</si>
  <si>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</si>
  <si>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</si>
  <si>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</si>
  <si>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</si>
  <si>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</si>
  <si>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</si>
  <si>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</si>
  <si>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</si>
  <si>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</si>
  <si>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</si>
  <si>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</si>
  <si>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</si>
  <si>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</si>
  <si>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</si>
  <si>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</si>
  <si>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</si>
  <si>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</si>
  <si>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</si>
  <si>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</si>
  <si>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</si>
  <si>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</si>
  <si>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</si>
  <si>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</si>
  <si>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</si>
  <si>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</si>
  <si>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</si>
  <si>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</si>
  <si>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</si>
  <si>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</si>
  <si>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</si>
  <si>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</si>
  <si>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</si>
  <si>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</si>
  <si>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</si>
  <si>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</si>
  <si>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</si>
  <si>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</si>
  <si>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</si>
  <si>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</si>
  <si>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</si>
  <si>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</si>
  <si>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</si>
  <si>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</si>
  <si>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</si>
  <si>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</si>
  <si>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</si>
  <si>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</si>
  <si>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</si>
  <si>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</si>
  <si>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</si>
  <si>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</si>
  <si>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</si>
  <si>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</si>
  <si>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</si>
  <si>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</si>
  <si>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</si>
  <si>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</si>
  <si>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</si>
  <si>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</si>
  <si>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</si>
  <si>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</si>
  <si>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</si>
  <si>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</si>
  <si>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</si>
  <si>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</si>
  <si>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</si>
  <si>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</si>
  <si>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</si>
  <si>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</si>
  <si>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</si>
  <si>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</si>
  <si>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</si>
  <si>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</si>
  <si>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</si>
  <si>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</si>
  <si>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</si>
  <si>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</si>
  <si>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</si>
  <si>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</si>
  <si>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</si>
  <si>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</si>
  <si>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</si>
  <si>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</si>
  <si>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</si>
  <si>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</si>
  <si>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</si>
  <si>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</si>
  <si>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</si>
  <si>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</si>
  <si>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</si>
  <si>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</si>
  <si>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</si>
  <si>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</si>
  <si>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</si>
  <si>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</si>
  <si>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</si>
  <si>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</si>
  <si>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</si>
  <si>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</si>
  <si>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</si>
  <si>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</si>
  <si>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</si>
  <si>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</si>
  <si>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</si>
  <si>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</si>
  <si>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</si>
  <si>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</si>
  <si>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</si>
  <si>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</si>
  <si>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</si>
  <si>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</si>
  <si>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</si>
  <si>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</si>
  <si>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</si>
  <si>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</si>
  <si>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</si>
  <si>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</si>
  <si>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</si>
  <si>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</si>
  <si>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</si>
  <si>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</si>
  <si>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</si>
  <si>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</si>
  <si>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</si>
  <si>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</si>
  <si>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</si>
  <si>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</si>
  <si>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</si>
  <si>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</si>
  <si>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</si>
  <si>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</si>
  <si>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</si>
  <si>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</si>
  <si>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</si>
  <si>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</si>
  <si>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</si>
  <si>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</si>
  <si>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</si>
  <si>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</si>
  <si>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</si>
  <si>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</si>
  <si>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</si>
  <si>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</si>
  <si>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</si>
  <si>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</si>
  <si>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</si>
  <si>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</si>
  <si>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</si>
  <si>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</si>
  <si>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</si>
  <si>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</si>
  <si>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</si>
  <si>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</si>
  <si>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</si>
  <si>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</si>
  <si>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</si>
  <si>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</si>
  <si>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</si>
  <si>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</si>
  <si>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</si>
  <si>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</si>
  <si>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</si>
  <si>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</si>
  <si>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</si>
  <si>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</si>
  <si>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</si>
  <si>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</si>
  <si>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</si>
  <si>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</si>
  <si>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</si>
  <si>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</si>
  <si>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</si>
  <si>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</si>
  <si>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</si>
  <si>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</si>
  <si>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</si>
  <si>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</si>
  <si>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</si>
  <si>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</si>
  <si>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</si>
  <si>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</si>
  <si>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</si>
  <si>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</si>
  <si>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</si>
  <si>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</si>
  <si>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</si>
  <si>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</si>
  <si>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</si>
  <si>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</si>
  <si>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</si>
  <si>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</si>
  <si>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</si>
  <si>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</si>
  <si>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</si>
  <si>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</si>
  <si>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</si>
  <si>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</si>
  <si>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</si>
  <si>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</si>
  <si>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</si>
  <si>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</si>
  <si>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</si>
  <si>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</si>
  <si>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</si>
  <si>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</si>
  <si>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</si>
  <si>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</si>
  <si>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</si>
  <si>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</si>
  <si>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</si>
  <si>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</si>
  <si>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</si>
  <si>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</si>
  <si>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</si>
  <si>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</si>
  <si>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</si>
  <si>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</si>
  <si>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</si>
  <si>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</si>
  <si>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</si>
  <si>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</si>
  <si>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</si>
  <si>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</si>
  <si>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</si>
  <si>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</si>
  <si>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</si>
  <si>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</si>
  <si>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</si>
  <si>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</si>
  <si>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</si>
  <si>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</si>
  <si>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</si>
  <si>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</si>
  <si>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</si>
  <si>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</si>
  <si>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</si>
  <si>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</si>
  <si>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</si>
  <si>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</si>
  <si>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</si>
  <si>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</si>
  <si>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</si>
  <si>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</si>
  <si>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</si>
  <si>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</si>
  <si>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</si>
  <si>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</si>
  <si>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</si>
  <si>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</si>
  <si>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</si>
  <si>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</si>
  <si>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</si>
  <si>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</si>
  <si>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</si>
  <si>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</si>
  <si>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</si>
  <si>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</si>
  <si>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</si>
  <si>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</si>
  <si>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</si>
  <si>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</si>
  <si>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</si>
  <si>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</si>
  <si>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</si>
  <si>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</si>
  <si>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</si>
  <si>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</si>
  <si>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</si>
  <si>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</si>
  <si>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</si>
  <si>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</si>
  <si>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</si>
  <si>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</si>
  <si>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</si>
  <si>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</si>
  <si>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</si>
  <si>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</si>
  <si>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</si>
  <si>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</si>
  <si>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</si>
  <si>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</si>
  <si>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</si>
  <si>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</si>
  <si>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</si>
  <si>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</si>
  <si>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</si>
  <si>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</si>
  <si>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</si>
  <si>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</si>
  <si>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</si>
  <si>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</si>
  <si>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</si>
  <si>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</si>
  <si>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</si>
  <si>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</si>
  <si>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</si>
  <si>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</si>
  <si>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</si>
  <si>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</si>
  <si>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</si>
  <si>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</si>
  <si>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</si>
  <si>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</si>
  <si>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</si>
  <si>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</si>
  <si>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</si>
  <si>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</si>
  <si>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</si>
  <si>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</si>
  <si>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</si>
  <si>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</si>
  <si>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</si>
  <si>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</si>
  <si>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</si>
  <si>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</si>
  <si>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</si>
  <si>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</si>
  <si>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</si>
  <si>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</si>
  <si>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</si>
  <si>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</si>
  <si>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</si>
  <si>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</si>
  <si>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</si>
  <si>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</si>
  <si>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</si>
  <si>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</si>
  <si>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</si>
  <si>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</si>
  <si>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</si>
  <si>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</si>
  <si>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</si>
  <si>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</si>
  <si>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</si>
  <si>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</si>
  <si>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</si>
  <si>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</si>
  <si>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</si>
  <si>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</si>
  <si>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</si>
  <si>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</si>
  <si>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</si>
  <si>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</si>
  <si>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</si>
  <si>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</si>
  <si>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</si>
  <si>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</si>
  <si>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</si>
  <si>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</si>
  <si>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</si>
  <si>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</si>
  <si>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</si>
  <si>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</si>
  <si>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</si>
  <si>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</si>
  <si>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</si>
  <si>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</si>
  <si>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</si>
  <si>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</si>
  <si>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</si>
  <si>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</si>
  <si>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</si>
  <si>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</si>
  <si>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</si>
  <si>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</si>
  <si>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</si>
  <si>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</si>
  <si>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</si>
  <si>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</si>
  <si>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</si>
  <si>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</si>
  <si>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</si>
  <si>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</si>
  <si>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</si>
  <si>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</si>
  <si>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</si>
  <si>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</si>
  <si>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</si>
  <si>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</si>
  <si>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</si>
  <si>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</si>
  <si>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</si>
  <si>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</si>
  <si>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</si>
  <si>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</si>
  <si>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</si>
  <si>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</si>
  <si>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</si>
  <si>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</si>
  <si>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</si>
  <si>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</si>
  <si>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</si>
  <si>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</si>
  <si>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</si>
  <si>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</si>
  <si>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</si>
  <si>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</si>
  <si>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</si>
  <si>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</si>
  <si>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</si>
  <si>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</si>
  <si>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</si>
  <si>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</si>
  <si>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</si>
  <si>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</si>
  <si>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</si>
  <si>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</si>
  <si>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</si>
  <si>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</si>
  <si>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</si>
  <si>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</si>
  <si>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</si>
  <si>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</si>
  <si>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</si>
  <si>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</si>
  <si>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</si>
  <si>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</si>
  <si>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</si>
  <si>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</si>
  <si>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</si>
  <si>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</si>
  <si>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</si>
  <si>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</si>
  <si>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</si>
  <si>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</si>
  <si>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</si>
  <si>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</si>
  <si>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</si>
  <si>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</si>
  <si>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</si>
  <si>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</si>
  <si>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</si>
  <si>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</si>
  <si>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</si>
  <si>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</si>
  <si>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</si>
  <si>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</si>
  <si>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</si>
  <si>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</si>
  <si>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</si>
  <si>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</si>
  <si>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</si>
  <si>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</si>
  <si>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</si>
  <si>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</si>
  <si>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</si>
  <si>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</si>
  <si>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</si>
  <si>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</si>
  <si>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</si>
  <si>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</si>
  <si>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</si>
  <si>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</si>
  <si>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</si>
  <si>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</si>
  <si>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</si>
  <si>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</si>
  <si>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</si>
  <si>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</si>
  <si>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</si>
  <si>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</si>
  <si>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</si>
  <si>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</si>
  <si>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</si>
  <si>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</si>
  <si>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</si>
  <si>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</si>
  <si>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</si>
  <si>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</si>
  <si>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</si>
  <si>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</si>
  <si>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</si>
  <si>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</si>
  <si>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</si>
  <si>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</si>
  <si>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</si>
  <si>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</si>
  <si>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</si>
  <si>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</si>
  <si>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</si>
  <si>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</si>
  <si>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</si>
  <si>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</si>
  <si>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</si>
  <si>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</si>
  <si>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</si>
  <si>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</si>
  <si>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</si>
  <si>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</si>
  <si>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</si>
  <si>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</si>
  <si>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</si>
  <si>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</si>
  <si>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</si>
  <si>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</si>
  <si>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</si>
  <si>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</si>
  <si>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</si>
  <si>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</si>
  <si>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</si>
  <si>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</si>
  <si>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</si>
  <si>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</si>
  <si>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</si>
  <si>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</si>
  <si>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</si>
  <si>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</si>
  <si>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</si>
  <si>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</si>
  <si>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</si>
  <si>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</si>
  <si>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</si>
  <si>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</si>
  <si>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</si>
  <si>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</si>
  <si>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</si>
  <si>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</si>
  <si>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</si>
  <si>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</si>
  <si>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</si>
  <si>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</si>
  <si>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</si>
  <si>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</si>
  <si>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</si>
  <si>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</si>
  <si>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</si>
  <si>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</si>
  <si>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</si>
  <si>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</si>
  <si>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</si>
  <si>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</si>
  <si>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</si>
  <si>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</si>
  <si>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</si>
  <si>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</si>
  <si>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</si>
  <si>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</si>
  <si>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</si>
  <si>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</si>
  <si>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</si>
  <si>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</si>
  <si>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</si>
  <si>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</si>
  <si>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</si>
  <si>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</si>
  <si>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</si>
  <si>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</si>
  <si>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</si>
  <si>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</si>
  <si>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</si>
  <si>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</si>
  <si>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</si>
  <si>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</si>
  <si>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</si>
  <si>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</si>
  <si>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</si>
  <si>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</si>
  <si>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</si>
  <si>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</si>
  <si>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</si>
  <si>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</si>
  <si>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</si>
  <si>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</si>
  <si>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</si>
  <si>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</si>
  <si>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</si>
  <si>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</si>
  <si>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</si>
  <si>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</si>
  <si>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</si>
  <si>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</si>
  <si>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</si>
  <si>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</si>
  <si>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</si>
  <si>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</si>
  <si>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</si>
  <si>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</si>
  <si>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</si>
  <si>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</si>
  <si>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</si>
  <si>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</si>
  <si>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</si>
  <si>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</si>
  <si>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</si>
  <si>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</si>
  <si>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</si>
  <si>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</si>
  <si>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</si>
  <si>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</si>
  <si>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</si>
  <si>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</si>
  <si>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</si>
  <si>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</si>
  <si>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</si>
  <si>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</si>
  <si>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</si>
  <si>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</si>
  <si>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</si>
  <si>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</si>
  <si>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</si>
  <si>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</si>
  <si>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</si>
  <si>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</si>
  <si>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</si>
  <si>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</si>
  <si>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</si>
  <si>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</si>
  <si>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</si>
  <si>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</si>
  <si>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</si>
  <si>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</si>
  <si>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</si>
  <si>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</si>
  <si>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</si>
  <si>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</si>
  <si>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</si>
  <si>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</si>
  <si>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</si>
  <si>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</si>
  <si>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</si>
  <si>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</si>
  <si>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</si>
  <si>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</si>
  <si>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</si>
  <si>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</si>
  <si>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</si>
  <si>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</si>
  <si>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</si>
  <si>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</si>
  <si>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</si>
  <si>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</si>
  <si>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</si>
  <si>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</si>
  <si>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</si>
  <si>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</si>
  <si>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</si>
  <si>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</si>
  <si>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</si>
  <si>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</si>
  <si>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</si>
  <si>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</si>
  <si>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</si>
  <si>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</si>
  <si>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</si>
  <si>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</si>
  <si>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</si>
  <si>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</si>
  <si>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</si>
  <si>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</si>
  <si>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</si>
  <si>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</si>
  <si>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</si>
  <si>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</si>
  <si>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</si>
  <si>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</si>
  <si>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</si>
  <si>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</si>
  <si>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</si>
  <si>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</si>
  <si>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</si>
  <si>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</si>
  <si>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</si>
  <si>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</si>
  <si>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</si>
  <si>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</si>
  <si>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</si>
  <si>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</si>
  <si>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</si>
  <si>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</si>
  <si>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</si>
  <si>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</si>
  <si>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</si>
  <si>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</si>
  <si>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</si>
  <si>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</si>
  <si>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</si>
  <si>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</si>
  <si>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</si>
  <si>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</si>
  <si>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</si>
  <si>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</si>
  <si>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</si>
  <si>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</si>
  <si>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</si>
  <si>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</si>
  <si>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</si>
  <si>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</si>
  <si>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</si>
  <si>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</si>
  <si>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</si>
  <si>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</si>
  <si>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</si>
  <si>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</si>
  <si>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</si>
  <si>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</si>
  <si>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</si>
  <si>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</si>
  <si>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</si>
  <si>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</si>
  <si>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</si>
  <si>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</si>
  <si>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</si>
  <si>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</si>
  <si>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</si>
  <si>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</si>
  <si>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</si>
  <si>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</si>
  <si>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</si>
  <si>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</si>
  <si>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</si>
  <si>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</si>
  <si>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</si>
  <si>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</si>
  <si>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</si>
  <si>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</si>
  <si>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</si>
  <si>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</si>
  <si>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</si>
  <si>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</si>
  <si>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</si>
  <si>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</si>
  <si>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</si>
  <si>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</si>
  <si>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</si>
  <si>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</si>
  <si>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</si>
  <si>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</si>
  <si>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</si>
  <si>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</si>
  <si>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</si>
  <si>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</si>
  <si>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</si>
  <si>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</si>
  <si>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</si>
  <si>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</si>
  <si>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</si>
  <si>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</si>
  <si>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</si>
  <si>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</si>
  <si>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</si>
  <si>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</si>
  <si>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</si>
  <si>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</si>
  <si>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</si>
  <si>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</si>
  <si>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</si>
  <si>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</si>
  <si>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</si>
  <si>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</si>
  <si>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</si>
  <si>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</si>
  <si>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</si>
  <si>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</si>
  <si>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</si>
  <si>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</si>
  <si>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</si>
  <si>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</si>
  <si>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</si>
  <si>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</si>
  <si>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</si>
  <si>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</si>
  <si>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</si>
  <si>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</si>
  <si>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</si>
  <si>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</si>
  <si>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</si>
  <si>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</si>
  <si>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</si>
  <si>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</si>
  <si>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</si>
  <si>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</si>
  <si>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</si>
  <si>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</si>
  <si>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</si>
  <si>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</si>
  <si>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</si>
  <si>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</si>
  <si>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</si>
  <si>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</si>
  <si>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</si>
  <si>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</si>
  <si>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</si>
  <si>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</si>
  <si>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</si>
  <si>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</si>
  <si>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</si>
  <si>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</si>
  <si>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</si>
  <si>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</si>
  <si>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</si>
  <si>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</si>
  <si>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</si>
  <si>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</si>
  <si>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</si>
  <si>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</si>
  <si>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</si>
  <si>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</si>
  <si>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</si>
  <si>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</si>
  <si>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</si>
  <si>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</si>
  <si>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</si>
  <si>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</si>
  <si>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</si>
  <si>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</si>
  <si>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</si>
  <si>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</si>
  <si>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</si>
  <si>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</si>
  <si>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</si>
  <si>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</si>
  <si>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</si>
  <si>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</si>
  <si>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</si>
  <si>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</si>
  <si>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</si>
  <si>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</si>
  <si>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</si>
  <si>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</si>
  <si>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</si>
  <si>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</si>
  <si>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</si>
  <si>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</si>
  <si>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</si>
  <si>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</si>
  <si>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</si>
  <si>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</si>
  <si>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</si>
  <si>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</si>
  <si>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</si>
  <si>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</si>
  <si>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</si>
  <si>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</si>
  <si>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</si>
  <si>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</si>
  <si>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</si>
  <si>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</si>
  <si>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</si>
  <si>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</si>
  <si>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</si>
  <si>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</si>
  <si>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</si>
  <si>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</si>
  <si>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</si>
  <si>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</si>
  <si>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</si>
  <si>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</si>
  <si>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</si>
  <si>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</si>
  <si>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</si>
  <si>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</si>
  <si>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</si>
  <si>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</si>
  <si>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</si>
  <si>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</si>
  <si>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</si>
  <si>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</si>
  <si>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</si>
  <si>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</si>
  <si>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</si>
  <si>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</si>
  <si>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</si>
  <si>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</si>
  <si>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</si>
  <si>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</si>
  <si>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</si>
  <si>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</si>
  <si>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</si>
  <si>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</si>
  <si>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</si>
  <si>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</si>
  <si>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</si>
  <si>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</si>
  <si>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</si>
  <si>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</si>
  <si>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</si>
  <si>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</si>
  <si>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</si>
  <si>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</si>
  <si>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</si>
  <si>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</si>
  <si>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</si>
  <si>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</si>
  <si>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</si>
  <si>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</si>
  <si>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</si>
  <si>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</si>
  <si>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</si>
  <si>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</si>
  <si>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</si>
  <si>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</si>
  <si>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</si>
  <si>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</si>
  <si>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</si>
  <si>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</si>
  <si>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</si>
  <si>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</si>
  <si>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</si>
  <si>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</si>
  <si>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</si>
  <si>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</si>
  <si>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</si>
  <si>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</si>
  <si>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</si>
  <si>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</si>
  <si>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</si>
  <si>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</si>
  <si>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</si>
  <si>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</si>
  <si>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</si>
  <si>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</si>
  <si>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</si>
  <si>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</si>
  <si>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</si>
  <si>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</si>
  <si>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</si>
  <si>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</si>
  <si>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</si>
  <si>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</si>
  <si>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</si>
  <si>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</si>
  <si>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</si>
  <si>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</si>
  <si>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</si>
  <si>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</si>
  <si>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</si>
  <si>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</si>
  <si>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</si>
  <si>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</si>
  <si>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</si>
  <si>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</si>
  <si>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</si>
  <si>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</si>
  <si>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</si>
  <si>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</si>
  <si>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</si>
  <si>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</si>
  <si>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</si>
  <si>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</si>
  <si>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</si>
  <si>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</si>
  <si>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</si>
  <si>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</si>
  <si>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</si>
  <si>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</si>
  <si>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</si>
  <si>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</si>
  <si>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</si>
  <si>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</si>
  <si>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</si>
  <si>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</si>
  <si>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</si>
  <si>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</si>
  <si>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</si>
  <si>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</si>
  <si>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</si>
  <si>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</si>
  <si>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</si>
  <si>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</si>
  <si>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</si>
  <si>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</si>
  <si>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</si>
  <si>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</si>
  <si>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</si>
  <si>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</si>
  <si>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</si>
  <si>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</si>
  <si>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</si>
  <si>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</si>
  <si>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</si>
  <si>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</si>
  <si>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</si>
  <si>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</si>
  <si>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</si>
  <si>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</si>
  <si>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</si>
  <si>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</si>
  <si>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</si>
  <si>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</si>
  <si>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</si>
  <si>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</si>
  <si>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</si>
  <si>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</si>
  <si>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</si>
  <si>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</si>
  <si>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</si>
  <si>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</si>
  <si>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</si>
  <si>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</si>
  <si>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</si>
  <si>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</si>
  <si>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</si>
  <si>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</si>
  <si>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</si>
  <si>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</si>
  <si>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</si>
  <si>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</si>
  <si>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</si>
  <si>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</si>
  <si>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</si>
  <si>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</si>
  <si>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</si>
  <si>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</si>
  <si>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</si>
  <si>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</si>
  <si>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</si>
  <si>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</si>
  <si>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</si>
  <si>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</si>
  <si>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</si>
  <si>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</si>
  <si>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</si>
  <si>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</si>
  <si>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</si>
  <si>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</si>
  <si>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</si>
  <si>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</si>
  <si>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</si>
  <si>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</si>
  <si>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</si>
  <si>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</si>
  <si>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</si>
  <si>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</si>
  <si>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</si>
  <si>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</si>
  <si>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</si>
  <si>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</si>
  <si>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</si>
  <si>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</si>
  <si>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</si>
  <si>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</si>
  <si>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</si>
  <si>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</si>
  <si>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</si>
  <si>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</si>
  <si>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</si>
  <si>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</si>
  <si>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</si>
  <si>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</si>
  <si>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</si>
  <si>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</si>
  <si>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</si>
  <si>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</si>
  <si>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</si>
  <si>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</si>
  <si>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</si>
  <si>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</si>
  <si>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</si>
  <si>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</si>
  <si>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</si>
  <si>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</si>
  <si>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</si>
  <si>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</si>
  <si>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</si>
  <si>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</si>
  <si>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</si>
  <si>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</si>
  <si>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</si>
  <si>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</si>
  <si>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</si>
  <si>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</si>
  <si>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</si>
  <si>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</si>
  <si>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</si>
  <si>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</si>
  <si>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</si>
  <si>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</si>
  <si>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</si>
  <si>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</si>
  <si>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</si>
  <si>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</si>
  <si>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</si>
  <si>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</si>
  <si>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</si>
  <si>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</si>
  <si>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</si>
  <si>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</si>
  <si>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</si>
  <si>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</si>
  <si>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</si>
  <si>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</si>
  <si>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</si>
  <si>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</si>
  <si>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</si>
  <si>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</si>
  <si>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</si>
  <si>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</si>
  <si>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</si>
  <si>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</si>
  <si>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</si>
  <si>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</si>
  <si>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</si>
  <si>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</si>
  <si>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</si>
  <si>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</si>
  <si>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</si>
  <si>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</si>
  <si>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</si>
  <si>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</si>
  <si>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</si>
  <si>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</si>
  <si>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</si>
  <si>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</si>
  <si>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</si>
  <si>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</si>
  <si>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</si>
  <si>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</si>
  <si>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</si>
  <si>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</si>
  <si>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</si>
  <si>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</si>
  <si>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</si>
  <si>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</si>
  <si>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</si>
  <si>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</si>
  <si>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</si>
  <si>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</si>
  <si>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</si>
  <si>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</si>
  <si>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</si>
  <si>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</si>
  <si>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</si>
  <si>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</si>
  <si>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</si>
  <si>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</si>
  <si>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</si>
  <si>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</si>
  <si>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</si>
  <si>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</si>
  <si>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</si>
  <si>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</si>
  <si>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</si>
  <si>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</si>
  <si>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</si>
  <si>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</si>
  <si>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</si>
  <si>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</si>
  <si>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</si>
  <si>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</si>
  <si>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</si>
  <si>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</si>
  <si>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</si>
  <si>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</si>
  <si>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</si>
  <si>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</si>
  <si>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</si>
  <si>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</si>
  <si>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</si>
  <si>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</si>
  <si>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</si>
  <si>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</si>
  <si>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</si>
  <si>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</si>
  <si>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</si>
  <si>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</si>
  <si>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</si>
  <si>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</si>
  <si>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</si>
  <si>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</si>
  <si>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</si>
  <si>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</si>
  <si>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</si>
  <si>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</si>
  <si>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</si>
  <si>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</si>
  <si>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</si>
  <si>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</si>
  <si>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</si>
  <si>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</si>
  <si>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</si>
  <si>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</si>
  <si>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</si>
  <si>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</si>
  <si>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</si>
  <si>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</si>
  <si>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</si>
  <si>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</si>
  <si>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</si>
  <si>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</si>
  <si>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</si>
  <si>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</si>
  <si>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</si>
  <si>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</si>
  <si>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</si>
  <si>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</si>
  <si>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</si>
  <si>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</si>
  <si>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</si>
  <si>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</si>
  <si>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</si>
  <si>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</si>
  <si>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</si>
  <si>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</si>
  <si>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</si>
  <si>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</si>
  <si>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</si>
  <si>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</si>
  <si>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</si>
  <si>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</si>
  <si>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</si>
  <si>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</si>
  <si>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</si>
  <si>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</si>
  <si>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</si>
  <si>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</si>
  <si>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</si>
  <si>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</si>
  <si>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</si>
  <si>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</si>
  <si>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</si>
  <si>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</si>
  <si>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</si>
  <si>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</si>
  <si>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</si>
  <si>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</si>
  <si>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</si>
  <si>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</si>
  <si>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</si>
  <si>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</si>
  <si>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</si>
  <si>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</si>
  <si>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</si>
  <si>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</si>
  <si>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</si>
  <si>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</si>
  <si>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</si>
  <si>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</si>
  <si>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</si>
  <si>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</si>
  <si>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</si>
  <si>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</si>
  <si>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</si>
  <si>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</si>
  <si>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</si>
  <si>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</si>
  <si>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</si>
  <si>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</si>
  <si>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</si>
  <si>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</si>
  <si>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</si>
  <si>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</si>
  <si>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</si>
  <si>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</si>
  <si>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</si>
  <si>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</si>
  <si>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</si>
  <si>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</si>
  <si>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</si>
  <si>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</si>
  <si>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</si>
  <si>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</si>
  <si>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</si>
  <si>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</si>
  <si>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</si>
  <si>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</si>
  <si>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</si>
  <si>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</si>
  <si>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</si>
  <si>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</si>
  <si>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</si>
  <si>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</si>
  <si>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</si>
  <si>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</si>
  <si>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</si>
  <si>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</si>
  <si>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</si>
  <si>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</si>
  <si>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</si>
  <si>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</si>
  <si>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</si>
  <si>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</si>
  <si>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</si>
  <si>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</si>
  <si>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</si>
  <si>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</si>
  <si>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</si>
  <si>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</si>
  <si>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</si>
  <si>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</si>
  <si>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</si>
  <si>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</si>
  <si>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</si>
  <si>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</si>
  <si>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</si>
  <si>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</si>
  <si>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</si>
  <si>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</si>
  <si>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</si>
  <si>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</si>
  <si>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</si>
  <si>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</si>
  <si>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</si>
  <si>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</si>
  <si>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</si>
  <si>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</si>
  <si>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</si>
  <si>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</si>
  <si>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</si>
  <si>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</si>
  <si>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</si>
  <si>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</si>
  <si>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</si>
  <si>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</si>
  <si>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</si>
  <si>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</si>
  <si>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</si>
  <si>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</si>
  <si>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</si>
  <si>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</si>
  <si>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</si>
  <si>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</si>
  <si>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</si>
  <si>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</si>
  <si>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</si>
  <si>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</si>
  <si>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</si>
  <si>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</si>
  <si>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</si>
  <si>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</si>
  <si>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</si>
  <si>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</si>
  <si>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</si>
  <si>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</si>
  <si>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</si>
  <si>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</si>
  <si>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</si>
  <si>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</si>
  <si>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</si>
  <si>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</si>
  <si>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</si>
  <si>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</si>
  <si>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</si>
  <si>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</si>
  <si>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</si>
  <si>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</si>
  <si>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</si>
  <si>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</si>
  <si>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</si>
  <si>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</si>
  <si>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</si>
  <si>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</si>
  <si>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</si>
  <si>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</si>
  <si>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</si>
  <si>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</si>
  <si>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</si>
  <si>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</si>
  <si>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</si>
  <si>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</si>
  <si>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</si>
  <si>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</si>
  <si>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</si>
  <si>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</si>
  <si>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</si>
  <si>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</si>
  <si>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</si>
  <si>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</si>
  <si>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</si>
  <si>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</si>
  <si>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</si>
  <si>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</si>
  <si>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</si>
  <si>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</si>
  <si>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</si>
  <si>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</si>
  <si>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</si>
  <si>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</si>
  <si>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</si>
  <si>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</si>
  <si>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</si>
  <si>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</si>
  <si>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</si>
  <si>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</si>
  <si>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</si>
  <si>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</si>
  <si>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</si>
  <si>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</si>
  <si>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</si>
  <si>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</si>
  <si>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</si>
  <si>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</si>
  <si>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</si>
  <si>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</si>
  <si>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</si>
  <si>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</si>
  <si>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</si>
  <si>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</si>
  <si>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</si>
  <si>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</si>
  <si>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</si>
  <si>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</si>
  <si>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</si>
  <si>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</si>
  <si>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</si>
  <si>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</si>
  <si>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</si>
  <si>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</si>
  <si>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</si>
  <si>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</si>
  <si>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</si>
  <si>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</si>
  <si>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</si>
  <si>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</si>
  <si>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</si>
  <si>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</si>
  <si>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</si>
  <si>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</si>
  <si>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</si>
  <si>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</si>
  <si>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</si>
  <si>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</si>
  <si>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</si>
  <si>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</si>
  <si>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</si>
  <si>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</si>
  <si>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</si>
  <si>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</si>
  <si>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</si>
  <si>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</si>
  <si>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</si>
  <si>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</si>
  <si>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</si>
  <si>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</si>
  <si>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</si>
  <si>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</si>
  <si>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</si>
  <si>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</si>
  <si>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</si>
  <si>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</si>
  <si>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</si>
  <si>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</si>
  <si>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</si>
  <si>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</si>
  <si>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</si>
  <si>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</si>
  <si>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</si>
  <si>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</si>
  <si>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</si>
  <si>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</si>
  <si>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</si>
  <si>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</si>
  <si>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</si>
  <si>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</si>
  <si>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</si>
  <si>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</si>
  <si>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</si>
  <si>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</si>
  <si>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</si>
  <si>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</si>
  <si>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</si>
  <si>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</si>
  <si>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</si>
  <si>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</si>
  <si>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</si>
  <si>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</si>
  <si>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</si>
  <si>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</si>
  <si>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</si>
  <si>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</si>
  <si>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</si>
  <si>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</si>
  <si>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</si>
  <si>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</si>
  <si>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</si>
  <si>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</si>
  <si>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</si>
  <si>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</si>
  <si>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</si>
  <si>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</si>
  <si>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</si>
  <si>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</si>
  <si>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</si>
  <si>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</si>
  <si>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</si>
  <si>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</si>
  <si>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</si>
  <si>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</si>
  <si>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</si>
  <si>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</si>
  <si>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</si>
  <si>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</si>
  <si>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</si>
  <si>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</si>
  <si>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</si>
  <si>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</si>
  <si>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</si>
  <si>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</si>
  <si>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</si>
  <si>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</si>
  <si>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</si>
  <si>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</si>
  <si>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</si>
  <si>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</si>
  <si>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</si>
  <si>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</si>
  <si>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</si>
  <si>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</si>
  <si>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</si>
  <si>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</si>
  <si>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</si>
  <si>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</si>
  <si>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</si>
  <si>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</si>
  <si>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</si>
  <si>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</si>
  <si>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</si>
  <si>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</si>
  <si>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</si>
  <si>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</si>
  <si>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</si>
  <si>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</si>
  <si>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</si>
  <si>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</si>
  <si>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</si>
  <si>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</si>
  <si>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</si>
  <si>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</si>
  <si>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</si>
  <si>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</si>
  <si>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</si>
  <si>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</si>
  <si>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</si>
  <si>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</si>
  <si>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</si>
  <si>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</si>
  <si>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</si>
  <si>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</si>
  <si>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</si>
  <si>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</si>
  <si>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</si>
  <si>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</si>
  <si>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</si>
  <si>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</si>
  <si>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</si>
  <si>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</si>
  <si>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</si>
  <si>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</si>
  <si>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</si>
  <si>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</si>
  <si>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</si>
  <si>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</si>
  <si>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</si>
  <si>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</si>
  <si>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</si>
  <si>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</si>
  <si>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</si>
  <si>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</si>
  <si>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</si>
  <si>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</si>
  <si>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</si>
  <si>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</si>
  <si>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</si>
  <si>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</si>
  <si>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</si>
  <si>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</si>
  <si>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</si>
  <si>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</si>
  <si>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</si>
  <si>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</si>
  <si>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</si>
  <si>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</si>
  <si>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</si>
  <si>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</si>
  <si>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</si>
  <si>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</si>
  <si>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</si>
  <si>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</si>
  <si>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</si>
  <si>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</si>
  <si>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</si>
  <si>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</si>
  <si>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</si>
  <si>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</si>
  <si>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</si>
  <si>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</si>
  <si>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</si>
  <si>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</si>
  <si>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</si>
  <si>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</si>
  <si>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</si>
  <si>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</si>
  <si>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</si>
  <si>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</si>
  <si>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</si>
  <si>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</si>
  <si>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</si>
  <si>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</si>
  <si>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</si>
  <si>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</si>
  <si>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</si>
  <si>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</si>
  <si>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</si>
  <si>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</si>
  <si>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</si>
  <si>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</si>
  <si>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</si>
  <si>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</si>
  <si>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</si>
  <si>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</si>
  <si>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</si>
  <si>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</si>
  <si>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</si>
  <si>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</si>
  <si>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</si>
  <si>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</si>
  <si>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</si>
  <si>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</si>
  <si>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</si>
  <si>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</si>
  <si>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</si>
  <si>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</si>
  <si>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</si>
  <si>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</si>
  <si>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</si>
  <si>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</si>
  <si>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</si>
  <si>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</si>
  <si>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</si>
  <si>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</si>
  <si>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</si>
  <si>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</si>
  <si>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</si>
  <si>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</si>
  <si>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</si>
  <si>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</si>
  <si>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</si>
  <si>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</si>
  <si>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</si>
  <si>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</si>
  <si>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</si>
  <si>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</si>
  <si>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</si>
  <si>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</si>
  <si>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</si>
  <si>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</si>
  <si>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</si>
  <si>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</si>
  <si>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</si>
  <si>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</si>
  <si>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</si>
  <si>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</si>
  <si>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</si>
  <si>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</si>
  <si>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</si>
  <si>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</si>
  <si>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</si>
  <si>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</si>
  <si>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</si>
  <si>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</si>
  <si>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</si>
  <si>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</si>
  <si>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</si>
  <si>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</si>
  <si>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</si>
  <si>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</si>
  <si>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</si>
  <si>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</si>
  <si>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</si>
  <si>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</si>
  <si>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</si>
  <si>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</si>
  <si>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</si>
  <si>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</si>
  <si>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</si>
  <si>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</si>
  <si>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</si>
  <si>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</si>
  <si>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</si>
  <si>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</si>
  <si>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</si>
  <si>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</si>
  <si>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</si>
  <si>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</si>
  <si>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</si>
  <si>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</si>
  <si>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</si>
  <si>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</si>
  <si>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</si>
  <si>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</si>
  <si>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</si>
  <si>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</si>
  <si>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</si>
  <si>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</si>
  <si>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</si>
  <si>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</si>
  <si>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</si>
  <si>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</si>
  <si>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</si>
  <si>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</si>
  <si>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</si>
  <si>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</si>
  <si>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</si>
  <si>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</si>
  <si>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</si>
  <si>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</si>
  <si>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</si>
  <si>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</si>
  <si>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</si>
  <si>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</si>
  <si>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</si>
  <si>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</si>
  <si>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</si>
  <si>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</si>
  <si>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</si>
  <si>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</si>
  <si>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</si>
  <si>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</si>
  <si>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</si>
  <si>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</si>
  <si>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</si>
  <si>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</si>
  <si>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</si>
  <si>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</si>
  <si>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</si>
  <si>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</si>
  <si>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</si>
  <si>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</si>
  <si>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</si>
  <si>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</si>
  <si>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</si>
  <si>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</si>
  <si>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</si>
  <si>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</si>
  <si>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</si>
  <si>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</si>
  <si>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</si>
  <si>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</si>
  <si>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</si>
  <si>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</si>
  <si>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</si>
  <si>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</si>
  <si>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</si>
  <si>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</si>
  <si>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</si>
  <si>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</si>
  <si>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</si>
  <si>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</si>
  <si>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</si>
  <si>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</si>
  <si>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</si>
  <si>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</si>
  <si>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</si>
  <si>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</si>
  <si>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</si>
  <si>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</si>
  <si>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</si>
  <si>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</si>
  <si>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</si>
  <si>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</si>
  <si>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</si>
  <si>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</si>
  <si>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</si>
  <si>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</si>
  <si>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</si>
  <si>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</si>
  <si>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</si>
  <si>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</si>
  <si>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</si>
  <si>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</si>
  <si>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</si>
  <si>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</si>
  <si>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</si>
  <si>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</si>
  <si>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</si>
  <si>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</si>
  <si>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</si>
  <si>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</si>
  <si>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</si>
  <si>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</si>
  <si>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</si>
  <si>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</si>
  <si>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</si>
  <si>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</si>
  <si>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</si>
  <si>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</si>
  <si>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</si>
  <si>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</si>
  <si>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</si>
  <si>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</si>
  <si>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</si>
  <si>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</si>
  <si>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</si>
  <si>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</si>
  <si>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</si>
  <si>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</si>
  <si>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</si>
  <si>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</si>
  <si>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</si>
  <si>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</si>
  <si>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</si>
  <si>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</si>
  <si>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</si>
  <si>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</si>
  <si>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</si>
  <si>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</si>
  <si>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</si>
  <si>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</si>
  <si>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</si>
  <si>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</si>
  <si>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</si>
  <si>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</si>
  <si>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</si>
  <si>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</si>
  <si>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</si>
  <si>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</si>
  <si>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</si>
  <si>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</si>
  <si>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</si>
  <si>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</si>
  <si>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</si>
  <si>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</si>
  <si>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</si>
  <si>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</si>
  <si>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</si>
  <si>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</si>
  <si>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</si>
  <si>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</si>
  <si>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</si>
  <si>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</si>
  <si>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</si>
  <si>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</si>
  <si>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</si>
  <si>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</si>
  <si>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</si>
  <si>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</si>
  <si>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</si>
  <si>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</si>
  <si>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</si>
  <si>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</si>
  <si>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</si>
  <si>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</si>
  <si>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</si>
  <si>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</si>
  <si>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</si>
  <si>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</si>
  <si>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</si>
  <si>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</si>
  <si>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</si>
  <si>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</si>
  <si>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</si>
  <si>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</si>
  <si>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</si>
  <si>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</si>
  <si>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</si>
  <si>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</si>
  <si>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</si>
  <si>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</si>
  <si>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</si>
  <si>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</si>
  <si>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</si>
  <si>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</si>
  <si>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</si>
  <si>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</si>
  <si>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</si>
  <si>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</si>
  <si>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</si>
  <si>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</si>
  <si>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</si>
  <si>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</si>
  <si>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</si>
  <si>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</si>
  <si>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</si>
  <si>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</si>
  <si>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</si>
  <si>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</si>
  <si>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</si>
  <si>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</si>
  <si>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</si>
  <si>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</si>
  <si>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</si>
  <si>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</si>
  <si>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</si>
  <si>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</si>
  <si>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</si>
  <si>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</si>
  <si>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</si>
  <si>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</si>
  <si>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</si>
  <si>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</si>
  <si>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</si>
  <si>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</si>
  <si>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</si>
  <si>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</si>
  <si>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</si>
  <si>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</si>
  <si>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</si>
  <si>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</si>
  <si>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</si>
  <si>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</si>
  <si>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</si>
  <si>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</si>
  <si>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</si>
  <si>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</si>
  <si>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</si>
  <si>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</si>
  <si>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</si>
  <si>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</si>
  <si>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</si>
  <si>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</si>
  <si>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</si>
  <si>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</si>
  <si>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</si>
  <si>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</si>
  <si>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</si>
  <si>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</si>
  <si>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</si>
  <si>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</si>
  <si>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</si>
  <si>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</si>
  <si>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</si>
  <si>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</si>
  <si>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</si>
  <si>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</si>
  <si>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</si>
  <si>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</si>
  <si>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</si>
  <si>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</si>
  <si>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</si>
  <si>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</si>
  <si>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</si>
  <si>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</si>
  <si>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</si>
  <si>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</si>
  <si>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</si>
  <si>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</si>
  <si>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</si>
  <si>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</si>
  <si>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</si>
  <si>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</si>
  <si>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</si>
  <si>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</si>
  <si>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</si>
  <si>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</si>
  <si>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</si>
  <si>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</si>
  <si>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</si>
  <si>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</si>
  <si>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</si>
  <si>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</si>
  <si>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</si>
  <si>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</si>
  <si>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</si>
  <si>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</si>
  <si>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</si>
  <si>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</si>
  <si>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</si>
  <si>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</si>
  <si>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</si>
  <si>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</si>
  <si>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</si>
  <si>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</si>
  <si>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</si>
  <si>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</si>
  <si>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</si>
  <si>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</si>
  <si>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</si>
  <si>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</si>
  <si>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</si>
  <si>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</si>
  <si>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</si>
  <si>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</si>
  <si>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</si>
  <si>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</si>
  <si>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</si>
  <si>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</si>
  <si>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</si>
  <si>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</si>
  <si>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</si>
  <si>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</si>
  <si>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</si>
  <si>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</si>
  <si>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</si>
  <si>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</si>
  <si>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</si>
  <si>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</si>
  <si>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</si>
  <si>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</si>
  <si>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</si>
  <si>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</si>
  <si>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</si>
  <si>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</si>
  <si>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</si>
  <si>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</si>
  <si>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</si>
  <si>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</si>
  <si>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</si>
  <si>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</si>
  <si>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</si>
  <si>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</si>
  <si>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</si>
  <si>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</si>
  <si>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</si>
  <si>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</si>
  <si>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</si>
  <si>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</si>
  <si>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</si>
  <si>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</si>
  <si>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</si>
  <si>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</si>
  <si>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</si>
  <si>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</si>
  <si>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</si>
  <si>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</si>
  <si>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</si>
  <si>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</si>
  <si>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</si>
  <si>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</si>
  <si>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</si>
  <si>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</si>
  <si>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</si>
  <si>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</si>
  <si>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</si>
  <si>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</si>
  <si>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</si>
  <si>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</si>
  <si>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</si>
  <si>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</si>
  <si>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</si>
  <si>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</si>
  <si>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</si>
  <si>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</si>
  <si>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</si>
  <si>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</si>
  <si>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</si>
  <si>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</si>
  <si>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</si>
  <si>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</si>
  <si>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</si>
  <si>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</si>
  <si>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</si>
  <si>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</si>
  <si>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</si>
  <si>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</si>
  <si>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</si>
  <si>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</si>
  <si>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</si>
  <si>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</si>
  <si>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</si>
  <si>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</si>
  <si>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</si>
  <si>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</si>
  <si>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</si>
  <si>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</si>
  <si>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</si>
  <si>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</si>
  <si>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</si>
  <si>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</si>
  <si>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</si>
  <si>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</si>
  <si>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</si>
  <si>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</si>
  <si>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</si>
  <si>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</si>
  <si>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</si>
  <si>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</si>
  <si>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</si>
  <si>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</si>
  <si>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</si>
  <si>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</si>
  <si>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</si>
  <si>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</si>
  <si>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</si>
  <si>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</si>
  <si>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</si>
  <si>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</si>
  <si>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</si>
  <si>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</si>
  <si>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</si>
  <si>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</si>
  <si>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</si>
  <si>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</si>
  <si>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</si>
  <si>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</si>
  <si>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</si>
  <si>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</si>
  <si>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</si>
  <si>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</si>
  <si>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</si>
  <si>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</si>
  <si>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</si>
  <si>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</si>
  <si>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</si>
  <si>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</si>
  <si>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</si>
  <si>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</si>
  <si>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</si>
  <si>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</si>
  <si>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</si>
  <si>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</si>
  <si>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</si>
  <si>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</si>
  <si>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</si>
  <si>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</si>
  <si>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</si>
  <si>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</si>
  <si>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</si>
  <si>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</si>
  <si>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</si>
  <si>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</si>
  <si>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</si>
  <si>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</si>
  <si>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</si>
  <si>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</si>
  <si>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</si>
  <si>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</si>
  <si>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</si>
  <si>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</si>
  <si>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</si>
  <si>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</si>
  <si>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</si>
  <si>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</si>
  <si>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</si>
  <si>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</si>
  <si>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</si>
  <si>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</si>
  <si>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</si>
  <si>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</si>
  <si>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</si>
  <si>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</si>
  <si>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</si>
  <si>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</si>
  <si>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</si>
  <si>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</si>
  <si>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</si>
  <si>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</si>
  <si>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</si>
  <si>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</si>
  <si>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</si>
  <si>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</si>
  <si>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</si>
  <si>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</si>
  <si>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</si>
  <si>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</si>
  <si>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</si>
  <si>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</si>
  <si>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</si>
  <si>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</si>
  <si>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</si>
  <si>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</si>
  <si>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</si>
  <si>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</si>
  <si>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</si>
  <si>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</si>
  <si>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</si>
  <si>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</si>
  <si>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</si>
  <si>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</si>
  <si>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</si>
  <si>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</si>
  <si>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</si>
  <si>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</si>
  <si>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</si>
  <si>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</si>
  <si>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</si>
  <si>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</si>
  <si>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</si>
  <si>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</si>
  <si>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</si>
  <si>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</si>
  <si>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</si>
  <si>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</si>
  <si>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</si>
  <si>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</si>
  <si>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</si>
  <si>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</si>
  <si>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</si>
  <si>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</si>
  <si>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</si>
  <si>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</si>
  <si>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</si>
  <si>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</si>
  <si>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</si>
  <si>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</si>
  <si>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</si>
  <si>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</si>
  <si>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</si>
  <si>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</si>
  <si>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</si>
  <si>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</si>
  <si>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</si>
  <si>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</si>
  <si>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</si>
  <si>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</si>
  <si>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</si>
  <si>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</si>
  <si>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</si>
  <si>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</si>
  <si>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</si>
  <si>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</si>
  <si>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</si>
  <si>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</si>
  <si>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</si>
  <si>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</si>
  <si>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</si>
  <si>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</si>
  <si>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</si>
  <si>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</si>
  <si>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</si>
  <si>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</si>
  <si>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</si>
  <si>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</si>
  <si>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</si>
  <si>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</si>
  <si>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</si>
  <si>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</si>
  <si>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</si>
  <si>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</si>
  <si>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</si>
  <si>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</si>
  <si>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</si>
  <si>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</si>
  <si>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</si>
  <si>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</si>
  <si>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</si>
  <si>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</si>
  <si>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</si>
  <si>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</si>
  <si>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</si>
  <si>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</si>
  <si>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</si>
  <si>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</si>
  <si>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</si>
  <si>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</si>
  <si>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</si>
  <si>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</si>
  <si>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</si>
  <si>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</si>
  <si>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</si>
  <si>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</si>
  <si>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</si>
  <si>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</si>
  <si>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</si>
  <si>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</si>
  <si>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</si>
  <si>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</si>
  <si>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</si>
  <si>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</si>
  <si>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</si>
  <si>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</si>
  <si>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</si>
  <si>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</si>
  <si>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</si>
  <si>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</si>
  <si>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</si>
  <si>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</si>
  <si>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</si>
  <si>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</si>
  <si>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</si>
  <si>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</si>
  <si>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</si>
  <si>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</si>
  <si>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</si>
  <si>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</si>
  <si>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</si>
  <si>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</si>
  <si>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</si>
  <si>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</si>
  <si>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</si>
  <si>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</si>
  <si>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</si>
  <si>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</si>
  <si>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</si>
  <si>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</si>
  <si>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</si>
  <si>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</si>
  <si>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</si>
  <si>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</si>
  <si>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</si>
  <si>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</si>
  <si>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</si>
  <si>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</si>
  <si>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</si>
  <si>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</si>
  <si>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</si>
  <si>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</si>
  <si>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</si>
  <si>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</si>
  <si>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</si>
  <si>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</si>
  <si>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</si>
  <si>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</si>
  <si>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</si>
  <si>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</si>
  <si>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</si>
  <si>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</si>
  <si>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</si>
  <si>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</si>
  <si>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</si>
  <si>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</si>
  <si>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</si>
  <si>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</si>
  <si>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</si>
  <si>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</si>
  <si>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</si>
  <si>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</si>
  <si>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</si>
  <si>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</si>
  <si>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</si>
  <si>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</si>
  <si>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</si>
  <si>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</si>
  <si>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</si>
  <si>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</si>
  <si>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</si>
  <si>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</si>
  <si>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</si>
  <si>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</si>
  <si>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</si>
  <si>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</si>
  <si>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</si>
  <si>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</si>
  <si>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</si>
  <si>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</si>
  <si>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</si>
  <si>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</si>
  <si>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</si>
  <si>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</si>
  <si>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</si>
  <si>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</si>
  <si>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</si>
  <si>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</si>
  <si>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</si>
  <si>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</si>
  <si>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</si>
  <si>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</si>
  <si>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</si>
  <si>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</si>
  <si>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</si>
  <si>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</si>
  <si>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</si>
  <si>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</si>
  <si>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</si>
  <si>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</si>
  <si>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</si>
  <si>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</si>
  <si>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</si>
  <si>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</si>
  <si>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</si>
  <si>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</si>
  <si>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</si>
  <si>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</si>
  <si>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</si>
  <si>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</si>
  <si>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</si>
  <si>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</si>
  <si>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</si>
  <si>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</si>
  <si>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</si>
  <si>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</si>
  <si>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</si>
  <si>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</si>
  <si>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</si>
  <si>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</si>
  <si>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</si>
  <si>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</si>
  <si>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</si>
  <si>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</si>
  <si>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</si>
  <si>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</si>
  <si>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</si>
  <si>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</si>
  <si>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</si>
  <si>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</si>
  <si>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</si>
  <si>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</si>
  <si>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</si>
  <si>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</si>
  <si>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</si>
  <si>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</si>
  <si>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</si>
  <si>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</si>
  <si>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</si>
  <si>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</si>
  <si>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</si>
  <si>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</si>
  <si>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</si>
  <si>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</si>
  <si>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</si>
  <si>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</si>
  <si>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</si>
  <si>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</si>
  <si>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</si>
  <si>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</si>
  <si>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</si>
  <si>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</si>
  <si>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</si>
  <si>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</si>
  <si>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</si>
  <si>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</si>
  <si>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</si>
  <si>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</si>
  <si>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</si>
  <si>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</si>
  <si>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</si>
  <si>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</si>
  <si>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</si>
  <si>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</si>
  <si>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</si>
  <si>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</si>
  <si>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</si>
  <si>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</si>
  <si>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</si>
  <si>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</si>
  <si>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</si>
  <si>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</si>
  <si>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</si>
  <si>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</si>
  <si>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</si>
  <si>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</si>
  <si>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</si>
  <si>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</si>
  <si>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</si>
  <si>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</si>
  <si>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</si>
  <si>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</si>
  <si>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</si>
  <si>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</si>
  <si>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</si>
  <si>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</si>
  <si>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</si>
  <si>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</si>
  <si>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</si>
  <si>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</si>
  <si>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</si>
  <si>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</si>
  <si>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</si>
  <si>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</si>
  <si>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</si>
  <si>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</si>
  <si>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</si>
  <si>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</si>
  <si>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</si>
  <si>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</si>
  <si>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</si>
  <si>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</si>
  <si>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</si>
  <si>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</si>
  <si>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</si>
  <si>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</si>
  <si>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</si>
  <si>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</si>
  <si>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</si>
  <si>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</si>
  <si>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</si>
  <si>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</si>
  <si>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</si>
  <si>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</si>
  <si>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</si>
  <si>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</si>
  <si>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</si>
  <si>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</si>
  <si>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</si>
  <si>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</si>
  <si>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</si>
  <si>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</si>
  <si>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</si>
  <si>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</si>
  <si>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</si>
  <si>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</si>
  <si>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</si>
  <si>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</si>
  <si>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</si>
  <si>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</si>
  <si>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</si>
  <si>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</si>
  <si>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</si>
  <si>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</si>
  <si>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</si>
  <si>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</si>
  <si>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</si>
  <si>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</si>
  <si>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</si>
  <si>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</si>
  <si>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</si>
  <si>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</si>
  <si>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</si>
  <si>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</si>
  <si>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</si>
  <si>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</si>
  <si>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</si>
  <si>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</si>
  <si>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</si>
  <si>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</si>
  <si>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</si>
  <si>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</si>
  <si>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</si>
  <si>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</si>
  <si>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</si>
  <si>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</si>
  <si>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</si>
  <si>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</si>
  <si>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</si>
  <si>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</si>
  <si>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</si>
  <si>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</si>
  <si>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</si>
  <si>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</si>
  <si>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</si>
  <si>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</si>
  <si>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</si>
  <si>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</si>
  <si>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</si>
  <si>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</si>
  <si>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</si>
  <si>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</si>
  <si>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</si>
  <si>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</si>
  <si>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</si>
  <si>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</si>
  <si>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</si>
  <si>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</si>
  <si>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</si>
  <si>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</si>
  <si>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</si>
  <si>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</si>
  <si>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</si>
  <si>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</si>
  <si>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</si>
  <si>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</si>
  <si>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</si>
  <si>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</si>
  <si>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</si>
  <si>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</si>
  <si>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</si>
  <si>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</si>
  <si>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</si>
  <si>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</si>
  <si>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</si>
  <si>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</si>
  <si>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</si>
  <si>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</si>
  <si>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</si>
  <si>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</si>
  <si>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</si>
  <si>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</si>
  <si>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</si>
  <si>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</si>
  <si>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</si>
  <si>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</si>
  <si>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</si>
  <si>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</si>
  <si>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</si>
  <si>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</si>
  <si>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</si>
  <si>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</si>
  <si>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</si>
  <si>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</si>
  <si>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</si>
  <si>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</si>
  <si>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</si>
  <si>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</si>
  <si>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</si>
  <si>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</si>
  <si>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</si>
  <si>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</si>
  <si>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</si>
  <si>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</si>
  <si>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</si>
  <si>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</si>
  <si>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</si>
  <si>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</si>
  <si>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</si>
  <si>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</si>
  <si>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</si>
  <si>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</si>
  <si>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</si>
  <si>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</si>
  <si>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</si>
  <si>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</si>
  <si>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</si>
  <si>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</si>
  <si>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</si>
  <si>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</si>
  <si>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</si>
  <si>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</si>
  <si>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</si>
  <si>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</si>
  <si>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</si>
  <si>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</si>
  <si>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</si>
  <si>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</si>
  <si>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</si>
  <si>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</si>
  <si>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</si>
  <si>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</si>
  <si>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</si>
  <si>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</si>
  <si>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</si>
  <si>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</si>
  <si>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</si>
  <si>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</si>
  <si>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</si>
  <si>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</si>
  <si>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</si>
  <si>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</si>
  <si>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</si>
  <si>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</si>
  <si>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</si>
  <si>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</si>
  <si>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</si>
  <si>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</si>
  <si>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</si>
  <si>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</si>
  <si>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</si>
  <si>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</si>
  <si>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</si>
  <si>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</si>
  <si>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</si>
  <si>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</si>
  <si>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</si>
  <si>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</si>
  <si>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</si>
  <si>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</si>
  <si>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</si>
  <si>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</si>
  <si>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</si>
  <si>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</si>
  <si>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</si>
  <si>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</si>
  <si>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</si>
  <si>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</si>
  <si>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</si>
  <si>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</si>
  <si>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</si>
  <si>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</si>
  <si>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</si>
  <si>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</si>
  <si>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</si>
  <si>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</si>
  <si>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</si>
  <si>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</si>
  <si>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</si>
  <si>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</si>
  <si>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</si>
  <si>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</si>
  <si>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</si>
  <si>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</si>
  <si>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</si>
  <si>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</si>
  <si>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</si>
  <si>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</si>
  <si>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</si>
  <si>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</si>
  <si>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</si>
  <si>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</si>
  <si>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</si>
  <si>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</si>
  <si>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</si>
  <si>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</si>
  <si>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</si>
  <si>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</si>
  <si>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</si>
  <si>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</si>
  <si>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</si>
  <si>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</si>
  <si>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</si>
  <si>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</si>
  <si>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</si>
  <si>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</si>
  <si>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</si>
  <si>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</si>
  <si>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</si>
  <si>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</si>
  <si>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</si>
  <si>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</si>
  <si>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</si>
  <si>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</si>
  <si>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</si>
  <si>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</si>
  <si>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</si>
  <si>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</si>
  <si>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</si>
  <si>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</si>
  <si>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</si>
  <si>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</si>
  <si>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</si>
  <si>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</si>
  <si>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</si>
  <si>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</si>
  <si>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</si>
  <si>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</si>
  <si>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</si>
  <si>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</si>
  <si>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</si>
  <si>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</si>
  <si>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</si>
  <si>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</si>
  <si>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</si>
  <si>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</si>
  <si>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</si>
  <si>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</si>
  <si>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</si>
  <si>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</si>
  <si>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</si>
  <si>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</si>
  <si>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</si>
  <si>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</si>
  <si>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</si>
  <si>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</si>
  <si>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</si>
  <si>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</si>
  <si>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</si>
  <si>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</si>
  <si>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</si>
  <si>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</si>
  <si>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</si>
  <si>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</si>
  <si>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</si>
  <si>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</si>
  <si>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</si>
  <si>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</si>
  <si>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</si>
  <si>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</si>
  <si>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</si>
  <si>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</si>
  <si>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</si>
  <si>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</si>
  <si>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</si>
  <si>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</si>
  <si>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</si>
  <si>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</si>
  <si>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</si>
  <si>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</si>
  <si>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</si>
  <si>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</si>
  <si>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</si>
  <si>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</si>
  <si>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</si>
  <si>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</si>
  <si>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</si>
  <si>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</si>
  <si>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</si>
  <si>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</si>
  <si>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</si>
  <si>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</si>
  <si>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</si>
  <si>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</si>
  <si>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</si>
  <si>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</si>
  <si>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</si>
  <si>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</si>
  <si>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</si>
  <si>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</si>
  <si>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</si>
  <si>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</si>
  <si>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</si>
  <si>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</si>
  <si>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</si>
  <si>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</si>
  <si>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</si>
  <si>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</si>
  <si>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</si>
  <si>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</si>
  <si>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</si>
  <si>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</si>
  <si>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</si>
  <si>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</si>
  <si>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</si>
  <si>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</si>
  <si>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</si>
  <si>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</si>
  <si>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</si>
  <si>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</si>
  <si>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</si>
  <si>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</si>
  <si>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</si>
  <si>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</si>
  <si>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</si>
  <si>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</si>
  <si>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</si>
  <si>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</si>
  <si>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</si>
  <si>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</si>
  <si>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</si>
  <si>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</si>
  <si>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</si>
  <si>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</si>
  <si>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</si>
  <si>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</si>
  <si>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</si>
  <si>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</si>
  <si>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</si>
  <si>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</si>
  <si>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</si>
  <si>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</si>
  <si>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</si>
  <si>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</si>
  <si>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</si>
  <si>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</si>
  <si>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</si>
  <si>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</si>
  <si>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</si>
  <si>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</si>
  <si>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</si>
  <si>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</si>
  <si>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</si>
  <si>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</si>
  <si>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</si>
  <si>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</si>
  <si>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</si>
  <si>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</si>
  <si>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</si>
  <si>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</si>
  <si>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</si>
  <si>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</si>
  <si>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</si>
  <si>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</si>
  <si>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</si>
  <si>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</si>
  <si>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</si>
  <si>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</si>
  <si>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</si>
  <si>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</si>
  <si>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</si>
  <si>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</si>
  <si>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</si>
  <si>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</si>
  <si>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</si>
  <si>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</si>
  <si>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</si>
  <si>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</si>
  <si>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</si>
  <si>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</si>
  <si>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</si>
  <si>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</si>
  <si>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</si>
  <si>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</si>
  <si>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</si>
  <si>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</si>
  <si>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</si>
  <si>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</si>
  <si>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</si>
  <si>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</si>
  <si>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</si>
  <si>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</si>
  <si>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</si>
  <si>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</si>
  <si>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</si>
  <si>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</si>
  <si>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</si>
  <si>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</si>
  <si>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</si>
  <si>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</si>
  <si>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</si>
  <si>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</si>
  <si>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</si>
  <si>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</si>
  <si>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</si>
  <si>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</si>
  <si>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</si>
  <si>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</si>
  <si>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</si>
  <si>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</si>
  <si>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</si>
  <si>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</si>
  <si>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</si>
  <si>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</si>
  <si>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</si>
  <si>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</si>
  <si>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</si>
  <si>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</si>
  <si>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</si>
  <si>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</si>
  <si>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</si>
  <si>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</si>
  <si>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</si>
  <si>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</si>
  <si>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</si>
  <si>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</si>
  <si>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</si>
  <si>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</si>
  <si>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</si>
  <si>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</si>
  <si>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</si>
  <si>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</si>
  <si>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</si>
  <si>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</si>
  <si>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</si>
  <si>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</si>
  <si>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</si>
  <si>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</si>
  <si>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</si>
  <si>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</si>
  <si>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</si>
  <si>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</si>
  <si>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</si>
  <si>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</si>
  <si>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</si>
  <si>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</si>
  <si>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</si>
  <si>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</si>
  <si>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</si>
  <si>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</si>
  <si>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</si>
  <si>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</si>
  <si>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</si>
  <si>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</si>
  <si>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</si>
  <si>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</si>
  <si>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</si>
  <si>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</si>
  <si>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</si>
  <si>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</si>
  <si>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</si>
  <si>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</si>
  <si>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</si>
  <si>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</si>
  <si>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</si>
  <si>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</si>
  <si>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</si>
  <si>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</si>
  <si>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</si>
  <si>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</si>
  <si>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</si>
  <si>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</si>
  <si>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</si>
  <si>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</si>
  <si>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</si>
  <si>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</si>
  <si>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</si>
  <si>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</si>
  <si>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</si>
  <si>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</si>
  <si>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</si>
  <si>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</si>
  <si>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</si>
  <si>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</si>
  <si>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</si>
  <si>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</si>
  <si>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</si>
  <si>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</si>
  <si>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</si>
  <si>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</si>
  <si>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</si>
  <si>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</si>
  <si>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</si>
  <si>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</si>
  <si>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</si>
  <si>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</si>
  <si>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</si>
  <si>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</si>
  <si>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</si>
  <si>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</si>
  <si>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</si>
  <si>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</si>
  <si>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</si>
  <si>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</si>
  <si>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</si>
  <si>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</si>
  <si>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</si>
  <si>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</si>
  <si>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</si>
  <si>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</si>
  <si>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</si>
  <si>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</si>
  <si>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</si>
  <si>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</si>
  <si>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</si>
  <si>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</si>
  <si>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</si>
  <si>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</si>
  <si>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</si>
  <si>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</si>
  <si>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</si>
  <si>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</si>
  <si>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</si>
  <si>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</si>
  <si>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</si>
  <si>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</si>
  <si>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</si>
  <si>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</si>
  <si>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</si>
  <si>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</si>
  <si>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</si>
  <si>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</si>
  <si>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</si>
  <si>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</si>
  <si>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</si>
  <si>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</si>
  <si>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</si>
  <si>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</si>
  <si>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</si>
  <si>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</si>
  <si>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</si>
  <si>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</si>
  <si>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</si>
  <si>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</si>
  <si>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</si>
  <si>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</si>
  <si>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</si>
  <si>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</si>
  <si>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</si>
  <si>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</si>
  <si>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</si>
  <si>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</si>
  <si>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</si>
  <si>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</si>
  <si>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</si>
  <si>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</si>
  <si>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</si>
  <si>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</si>
  <si>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</si>
  <si>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</si>
  <si>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</si>
  <si>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</si>
  <si>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</si>
  <si>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</si>
  <si>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</si>
  <si>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</si>
  <si>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</si>
  <si>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</si>
  <si>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</si>
  <si>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</si>
  <si>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</si>
  <si>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</si>
  <si>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</si>
  <si>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</si>
  <si>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</si>
  <si>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</si>
  <si>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</si>
  <si>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</si>
  <si>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</si>
  <si>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</si>
  <si>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</si>
  <si>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</si>
  <si>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</si>
  <si>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</si>
  <si>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</si>
  <si>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</si>
  <si>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</si>
  <si>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</si>
  <si>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</si>
  <si>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</si>
  <si>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</si>
  <si>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</si>
  <si>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</si>
  <si>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</si>
  <si>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</si>
  <si>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</si>
  <si>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</si>
  <si>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</si>
  <si>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</si>
  <si>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</si>
  <si>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</si>
  <si>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</si>
  <si>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</si>
  <si>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</si>
  <si>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</si>
  <si>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</si>
  <si>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</si>
  <si>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</si>
  <si>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</si>
  <si>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</si>
  <si>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</si>
  <si>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</si>
  <si>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</si>
  <si>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</si>
  <si>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</si>
  <si>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</si>
  <si>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</si>
  <si>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</si>
  <si>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</si>
  <si>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</si>
  <si>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</si>
  <si>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</si>
  <si>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</si>
  <si>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</si>
  <si>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</si>
  <si>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</si>
  <si>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</si>
  <si>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</si>
  <si>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</si>
  <si>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</si>
  <si>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</si>
  <si>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</si>
  <si>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</si>
  <si>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</si>
  <si>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</si>
  <si>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</si>
  <si>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</si>
  <si>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</si>
  <si>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</si>
  <si>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</si>
  <si>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</si>
  <si>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</si>
  <si>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</si>
  <si>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</si>
  <si>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</si>
  <si>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</si>
  <si>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</si>
  <si>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</si>
  <si>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</si>
  <si>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</si>
  <si>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</si>
  <si>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</si>
  <si>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</si>
  <si>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</si>
  <si>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</si>
  <si>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</si>
  <si>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</si>
  <si>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</si>
  <si>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</si>
  <si>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</si>
  <si>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</si>
  <si>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</si>
  <si>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</si>
  <si>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</si>
  <si>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</si>
  <si>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</si>
  <si>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</si>
  <si>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</si>
  <si>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</si>
  <si>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</si>
  <si>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</si>
  <si>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</si>
  <si>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</si>
  <si>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</si>
  <si>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</si>
  <si>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</si>
  <si>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</si>
  <si>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</si>
  <si>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</si>
  <si>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</si>
  <si>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</si>
  <si>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</si>
  <si>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</si>
  <si>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</si>
  <si>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</si>
  <si>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</si>
  <si>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</si>
  <si>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</si>
  <si>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</si>
  <si>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</si>
  <si>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</si>
  <si>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</si>
  <si>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</si>
  <si>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</si>
  <si>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</si>
  <si>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</si>
  <si>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</si>
  <si>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</si>
  <si>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</si>
  <si>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</si>
  <si>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</si>
  <si>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</si>
  <si>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</si>
  <si>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</si>
  <si>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</si>
  <si>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</si>
  <si>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</si>
  <si>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</si>
  <si>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</si>
  <si>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</si>
  <si>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</si>
  <si>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</si>
  <si>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</si>
  <si>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</si>
  <si>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</si>
  <si>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</si>
  <si>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</si>
  <si>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</si>
  <si>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</si>
  <si>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</si>
  <si>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</si>
  <si>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</si>
  <si>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</si>
  <si>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</si>
  <si>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</si>
  <si>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</si>
  <si>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</si>
  <si>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</si>
  <si>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</si>
  <si>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</si>
  <si>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</si>
  <si>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</si>
  <si>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</si>
  <si>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</si>
  <si>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</si>
  <si>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</si>
  <si>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</si>
  <si>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</si>
  <si>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</si>
  <si>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</si>
  <si>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</si>
  <si>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</si>
  <si>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</si>
  <si>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</si>
  <si>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</si>
  <si>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</si>
  <si>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</si>
  <si>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</si>
  <si>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</si>
  <si>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</si>
  <si>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</si>
  <si>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</si>
  <si>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</si>
  <si>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</si>
  <si>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</si>
  <si>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</si>
  <si>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</si>
  <si>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</si>
  <si>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</si>
  <si>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</si>
  <si>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</si>
  <si>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</si>
  <si>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</si>
  <si>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</si>
  <si>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</si>
  <si>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</si>
  <si>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</si>
  <si>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</si>
  <si>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</si>
  <si>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</si>
  <si>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</si>
  <si>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</si>
  <si>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</si>
  <si>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</si>
  <si>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</si>
  <si>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</si>
  <si>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</si>
  <si>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</si>
  <si>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</si>
  <si>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</si>
  <si>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</si>
  <si>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</si>
  <si>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</si>
  <si>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</si>
  <si>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</si>
  <si>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</si>
  <si>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</si>
  <si>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</si>
  <si>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</si>
  <si>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</si>
  <si>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</si>
  <si>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</si>
  <si>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</si>
  <si>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</si>
  <si>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</si>
  <si>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</si>
  <si>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</si>
  <si>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</si>
  <si>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</si>
  <si>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</si>
  <si>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</si>
  <si>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</si>
  <si>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</si>
  <si>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</si>
  <si>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</si>
  <si>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</si>
  <si>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</si>
  <si>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</si>
  <si>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</si>
  <si>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</si>
  <si>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</si>
  <si>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</si>
  <si>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</si>
  <si>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</si>
  <si>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</si>
  <si>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</si>
  <si>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</si>
  <si>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</si>
  <si>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</si>
  <si>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</si>
  <si>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</si>
  <si>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</si>
  <si>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</si>
  <si>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</si>
  <si>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</si>
  <si>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</si>
  <si>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</si>
  <si>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</si>
  <si>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</si>
  <si>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</si>
  <si>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</si>
  <si>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</si>
  <si>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</si>
  <si>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</si>
  <si>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</si>
  <si>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</si>
  <si>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</si>
  <si>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</si>
  <si>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</si>
  <si>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</si>
  <si>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</si>
  <si>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</si>
  <si>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</si>
  <si>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</si>
  <si>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</si>
  <si>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</si>
  <si>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</si>
  <si>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</si>
  <si>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</si>
  <si>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</si>
  <si>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</si>
  <si>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</si>
  <si>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</si>
  <si>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</si>
  <si>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</si>
  <si>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</si>
  <si>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</si>
  <si>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</si>
  <si>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</si>
  <si>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</si>
  <si>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</si>
  <si>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</si>
  <si>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</si>
  <si>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</si>
  <si>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</si>
  <si>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</si>
  <si>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</si>
  <si>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</si>
  <si>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</si>
  <si>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</si>
  <si>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</si>
  <si>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</si>
  <si>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</si>
  <si>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</si>
  <si>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</si>
  <si>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</si>
  <si>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</si>
  <si>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</si>
  <si>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</si>
  <si>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</si>
  <si>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</si>
  <si>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</si>
  <si>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</si>
  <si>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</si>
  <si>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</si>
  <si>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</si>
  <si>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</si>
  <si>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</si>
  <si>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</si>
  <si>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</si>
  <si>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</si>
  <si>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</si>
  <si>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</si>
  <si>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</si>
  <si>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</si>
  <si>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</si>
  <si>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</si>
  <si>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</si>
  <si>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</si>
  <si>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</si>
  <si>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</si>
  <si>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</si>
  <si>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</si>
  <si>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</si>
  <si>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</si>
  <si>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</si>
  <si>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</si>
  <si>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</si>
  <si>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</si>
  <si>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</si>
  <si>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</si>
  <si>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</si>
  <si>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</si>
  <si>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</si>
  <si>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</si>
  <si>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</si>
  <si>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</si>
  <si>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</si>
  <si>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</si>
  <si>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</si>
  <si>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</si>
  <si>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</si>
  <si>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</si>
  <si>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</si>
  <si>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</si>
  <si>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</si>
  <si>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</si>
  <si>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</si>
  <si>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</si>
  <si>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</si>
  <si>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</si>
  <si>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</si>
  <si>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</si>
  <si>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</si>
  <si>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</si>
  <si>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</si>
  <si>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</si>
  <si>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</si>
  <si>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</si>
  <si>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</si>
  <si>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</si>
  <si>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</si>
  <si>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</si>
  <si>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</si>
  <si>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</si>
  <si>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</si>
  <si>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</si>
  <si>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</si>
  <si>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</si>
  <si>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</si>
  <si>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</si>
  <si>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</si>
  <si>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</si>
  <si>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</si>
  <si>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</si>
  <si>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</si>
  <si>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</si>
  <si>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</si>
  <si>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</si>
  <si>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</si>
  <si>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</si>
  <si>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</si>
  <si>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</si>
  <si>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</si>
  <si>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</si>
  <si>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</si>
  <si>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</si>
  <si>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</si>
  <si>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</si>
  <si>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</si>
  <si>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</si>
  <si>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</si>
  <si>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</si>
  <si>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</si>
  <si>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</si>
  <si>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</si>
  <si>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</si>
  <si>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</si>
  <si>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</si>
  <si>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</si>
  <si>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</si>
  <si>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</si>
  <si>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</si>
  <si>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</si>
  <si>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</si>
  <si>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</si>
  <si>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</si>
  <si>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</si>
  <si>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</si>
  <si>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</si>
  <si>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</si>
  <si>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</si>
  <si>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</si>
  <si>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</si>
  <si>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</si>
  <si>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</si>
  <si>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</si>
  <si>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</si>
  <si>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</si>
  <si>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</si>
  <si>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</si>
  <si>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</si>
  <si>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</si>
  <si>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</si>
  <si>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</si>
  <si>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</si>
  <si>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</si>
  <si>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</si>
  <si>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</si>
  <si>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</si>
  <si>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</si>
  <si>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</si>
  <si>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</si>
  <si>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</si>
  <si>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</si>
  <si>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</si>
  <si>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</si>
  <si>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</si>
  <si>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</si>
  <si>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</si>
  <si>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</si>
  <si>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</si>
  <si>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</si>
  <si>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</si>
  <si>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</si>
  <si>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</si>
  <si>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</si>
  <si>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</si>
  <si>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</si>
  <si>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</si>
  <si>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</si>
  <si>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</si>
  <si>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</si>
  <si>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</si>
  <si>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</si>
  <si>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</si>
  <si>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</si>
  <si>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</si>
  <si>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</si>
  <si>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</si>
  <si>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</si>
  <si>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</si>
  <si>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</si>
  <si>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</si>
  <si>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</si>
  <si>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</si>
  <si>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</si>
  <si>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</si>
  <si>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</si>
  <si>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</si>
  <si>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</si>
  <si>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</si>
  <si>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</si>
  <si>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</si>
  <si>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</si>
  <si>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</si>
  <si>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</si>
  <si>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</si>
  <si>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</si>
  <si>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</si>
  <si>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</si>
  <si>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</si>
  <si>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</si>
  <si>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</si>
  <si>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</si>
  <si>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</si>
  <si>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</si>
  <si>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</si>
  <si>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</si>
  <si>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</si>
  <si>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</si>
  <si>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</si>
  <si>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</si>
  <si>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</si>
  <si>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</si>
  <si>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</si>
  <si>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</si>
  <si>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</si>
  <si>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</si>
  <si>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</si>
  <si>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</si>
  <si>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</si>
  <si>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</si>
  <si>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</si>
  <si>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</si>
  <si>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</si>
  <si>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</si>
  <si>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</si>
  <si>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</si>
  <si>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</si>
  <si>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</si>
  <si>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</si>
  <si>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</si>
  <si>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</si>
  <si>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</si>
  <si>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</si>
  <si>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</si>
  <si>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</si>
  <si>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</si>
  <si>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</si>
  <si>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</si>
  <si>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</si>
  <si>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</si>
  <si>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</si>
  <si>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</si>
  <si>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</si>
  <si>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</si>
  <si>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</si>
  <si>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</si>
  <si>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</si>
  <si>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</si>
  <si>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</si>
  <si>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</si>
  <si>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</si>
  <si>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</si>
  <si>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</si>
  <si>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</si>
  <si>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</si>
  <si>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</si>
  <si>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</si>
  <si>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</si>
  <si>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</si>
  <si>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</si>
  <si>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</si>
  <si>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</si>
  <si>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</si>
  <si>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</si>
  <si>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</si>
  <si>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</si>
  <si>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</si>
  <si>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</si>
  <si>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</si>
  <si>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</si>
  <si>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</si>
  <si>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</si>
  <si>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</si>
  <si>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</si>
  <si>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</si>
  <si>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</si>
  <si>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</si>
  <si>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</si>
  <si>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</si>
  <si>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</si>
  <si>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</si>
  <si>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</si>
  <si>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</si>
  <si>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</si>
  <si>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</si>
  <si>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</si>
  <si>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</si>
  <si>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</si>
  <si>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</si>
  <si>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</si>
  <si>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</si>
  <si>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</si>
  <si>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</si>
  <si>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</si>
  <si>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</si>
  <si>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</si>
  <si>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</si>
  <si>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</si>
  <si>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</si>
  <si>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</si>
  <si>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</si>
  <si>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</si>
  <si>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</si>
  <si>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</si>
  <si>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</si>
  <si>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</si>
  <si>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</si>
  <si>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</si>
  <si>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</si>
  <si>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</si>
  <si>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</si>
  <si>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</si>
  <si>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</si>
  <si>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</si>
  <si>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</si>
  <si>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</si>
  <si>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</si>
  <si>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</si>
  <si>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</si>
  <si>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</si>
  <si>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</si>
  <si>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</si>
  <si>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</si>
  <si>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</si>
  <si>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</si>
  <si>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</si>
  <si>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</si>
  <si>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</si>
  <si>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</si>
  <si>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</si>
  <si>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</si>
  <si>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</si>
  <si>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</si>
  <si>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</si>
  <si>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</si>
  <si>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</si>
  <si>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</si>
  <si>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</si>
  <si>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</si>
  <si>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</si>
  <si>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</si>
  <si>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</si>
  <si>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</si>
  <si>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</si>
  <si>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</si>
  <si>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</si>
  <si>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</si>
  <si>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</si>
  <si>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</si>
  <si>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</si>
  <si>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</si>
  <si>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</si>
  <si>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</si>
  <si>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</si>
  <si>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</si>
  <si>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</si>
  <si>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</si>
  <si>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</si>
  <si>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</si>
  <si>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</si>
  <si>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</si>
  <si>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</si>
  <si>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</si>
  <si>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</si>
  <si>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</si>
  <si>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</si>
  <si>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</si>
  <si>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</si>
  <si>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</si>
  <si>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</si>
  <si>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</si>
  <si>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</si>
  <si>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</si>
  <si>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</si>
  <si>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</si>
  <si>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</si>
  <si>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</si>
  <si>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</si>
  <si>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</si>
  <si>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</si>
  <si>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</si>
  <si>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</si>
  <si>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</si>
  <si>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</si>
  <si>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</si>
  <si>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</si>
  <si>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</si>
  <si>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</si>
  <si>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</si>
  <si>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</si>
  <si>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</si>
  <si>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</si>
  <si>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</si>
  <si>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</si>
  <si>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</si>
  <si>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</si>
  <si>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</si>
  <si>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</si>
  <si>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</si>
  <si>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</si>
  <si>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</si>
  <si>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</si>
  <si>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</si>
  <si>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</si>
  <si>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</si>
  <si>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</si>
  <si>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</si>
  <si>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</si>
  <si>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</si>
  <si>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</si>
  <si>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</si>
  <si>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</si>
  <si>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</si>
  <si>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</si>
  <si>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</si>
  <si>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</si>
  <si>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</si>
  <si>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</si>
  <si>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</si>
  <si>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</si>
  <si>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</si>
  <si>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</si>
  <si>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</si>
  <si>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</si>
  <si>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</si>
  <si>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</si>
  <si>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</si>
  <si>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</si>
  <si>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</si>
  <si>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</si>
  <si>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</si>
  <si>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</si>
  <si>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</si>
  <si>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</si>
  <si>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</si>
  <si>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</si>
  <si>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</si>
  <si>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</si>
  <si>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</si>
  <si>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</si>
  <si>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</si>
  <si>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</si>
  <si>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</si>
  <si>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</si>
  <si>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</si>
  <si>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</si>
  <si>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</si>
  <si>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</si>
  <si>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</si>
  <si>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</si>
  <si>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</si>
  <si>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</si>
  <si>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</si>
  <si>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</si>
  <si>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</si>
  <si>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</si>
  <si>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</si>
  <si>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</si>
  <si>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</si>
  <si>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</si>
  <si>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</si>
  <si>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</si>
  <si>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</si>
  <si>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</si>
  <si>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</si>
  <si>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</si>
  <si>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</si>
  <si>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</si>
  <si>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</si>
  <si>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</si>
  <si>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</si>
  <si>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</si>
  <si>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</si>
  <si>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</si>
  <si>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</si>
  <si>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</si>
  <si>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</si>
  <si>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</si>
  <si>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</si>
  <si>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</si>
  <si>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</si>
  <si>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</si>
  <si>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</si>
  <si>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</si>
  <si>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</si>
  <si>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</si>
  <si>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</si>
  <si>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</si>
  <si>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</si>
  <si>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</si>
  <si>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</si>
  <si>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</si>
  <si>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</si>
  <si>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</si>
  <si>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</si>
  <si>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</si>
  <si>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</si>
  <si>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</si>
  <si>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</si>
  <si>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</si>
  <si>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</si>
  <si>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</si>
  <si>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</si>
  <si>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</si>
  <si>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</si>
  <si>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</si>
  <si>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</si>
  <si>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</si>
  <si>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</si>
  <si>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</si>
  <si>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</si>
  <si>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</si>
  <si>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</si>
  <si>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</si>
  <si>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</si>
  <si>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</si>
  <si>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</si>
  <si>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</si>
  <si>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</si>
  <si>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</si>
  <si>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</si>
  <si>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</si>
  <si>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</si>
  <si>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</si>
  <si>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</si>
  <si>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</si>
  <si>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</si>
  <si>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</si>
  <si>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</si>
  <si>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</si>
  <si>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</si>
  <si>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</si>
  <si>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</si>
  <si>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</si>
  <si>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</si>
  <si>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</si>
  <si>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</si>
  <si>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</si>
  <si>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</si>
  <si>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</si>
  <si>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</si>
  <si>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</si>
  <si>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</si>
  <si>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</si>
  <si>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</si>
  <si>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</si>
  <si>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</si>
  <si>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</si>
  <si>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</si>
  <si>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</si>
  <si>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</si>
  <si>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</si>
  <si>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</si>
  <si>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</si>
  <si>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</si>
  <si>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</si>
  <si>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</si>
  <si>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</si>
  <si>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</si>
  <si>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</si>
  <si>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</si>
  <si>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</si>
  <si>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</si>
  <si>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</si>
  <si>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</si>
  <si>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</si>
  <si>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</si>
  <si>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</si>
  <si>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</si>
  <si>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</si>
  <si>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</si>
  <si>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</si>
  <si>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</si>
  <si>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</si>
  <si>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</si>
  <si>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</si>
  <si>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</si>
  <si>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</si>
  <si>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</si>
  <si>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</si>
  <si>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</si>
  <si>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</si>
  <si>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</si>
  <si>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</si>
  <si>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</si>
  <si>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</si>
  <si>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</si>
  <si>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</si>
  <si>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</si>
  <si>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</si>
  <si>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</si>
  <si>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</si>
  <si>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</si>
  <si>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</si>
  <si>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</si>
  <si>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</si>
  <si>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</si>
  <si>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</si>
  <si>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</si>
  <si>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</si>
  <si>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</si>
  <si>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</si>
  <si>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</si>
  <si>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</si>
  <si>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</si>
  <si>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</si>
  <si>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</si>
  <si>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</si>
  <si>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</si>
  <si>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</si>
  <si>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</si>
  <si>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</si>
  <si>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</si>
  <si>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</si>
  <si>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</si>
  <si>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</si>
  <si>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</si>
  <si>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</si>
  <si>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</si>
  <si>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</si>
  <si>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</si>
  <si>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</si>
  <si>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</si>
  <si>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</si>
  <si>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</si>
  <si>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</si>
  <si>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</si>
  <si>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</si>
  <si>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</si>
  <si>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</si>
  <si>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</si>
  <si>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</si>
  <si>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</si>
  <si>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</si>
  <si>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</si>
  <si>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</si>
  <si>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</si>
  <si>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</si>
  <si>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</si>
  <si>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</si>
  <si>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</si>
  <si>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</si>
  <si>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</si>
  <si>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</si>
  <si>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</si>
  <si>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</si>
  <si>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</si>
  <si>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</si>
  <si>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</si>
  <si>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</si>
  <si>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</si>
  <si>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</si>
  <si>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</si>
  <si>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</si>
  <si>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</si>
  <si>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</si>
  <si>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</si>
  <si>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</si>
  <si>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</si>
  <si>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</si>
  <si>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</si>
  <si>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</si>
  <si>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</si>
  <si>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</si>
  <si>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</si>
  <si>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</si>
  <si>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</si>
  <si>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</si>
  <si>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</si>
  <si>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</si>
  <si>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</si>
  <si>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</si>
  <si>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</si>
  <si>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</si>
  <si>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</si>
  <si>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</si>
  <si>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</si>
  <si>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</si>
  <si>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</si>
  <si>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</si>
  <si>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</si>
  <si>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</si>
  <si>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</si>
  <si>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</si>
  <si>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</si>
  <si>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</si>
  <si>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</si>
  <si>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</si>
  <si>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</si>
  <si>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</si>
  <si>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</si>
  <si>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</si>
  <si>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</si>
  <si>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</si>
  <si>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</si>
  <si>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</si>
  <si>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</si>
  <si>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</si>
  <si>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</si>
  <si>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</si>
  <si>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</si>
  <si>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</si>
  <si>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</si>
  <si>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</si>
  <si>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</si>
  <si>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</si>
  <si>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</si>
  <si>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</si>
  <si>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</si>
  <si>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</si>
  <si>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</si>
  <si>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</si>
  <si>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</si>
  <si>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</si>
  <si>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</si>
  <si>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</si>
  <si>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</si>
  <si>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</si>
  <si>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</si>
  <si>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</si>
  <si>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</si>
  <si>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</si>
  <si>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</si>
  <si>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</si>
  <si>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</si>
  <si>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</si>
  <si>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</si>
  <si>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</si>
  <si>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</si>
  <si>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</si>
  <si>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</si>
  <si>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</si>
  <si>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</si>
  <si>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</si>
  <si>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</si>
  <si>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</si>
  <si>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</si>
  <si>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</si>
  <si>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</si>
  <si>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</si>
  <si>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</si>
  <si>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</si>
  <si>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</si>
  <si>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</si>
  <si>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</si>
  <si>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</si>
  <si>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</si>
  <si>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</si>
  <si>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</si>
  <si>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</si>
  <si>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</si>
  <si>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</si>
  <si>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</si>
  <si>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</si>
  <si>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</si>
  <si>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</si>
  <si>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</si>
  <si>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</si>
  <si>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</si>
  <si>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</si>
  <si>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</si>
  <si>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</si>
  <si>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</si>
  <si>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</si>
  <si>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</si>
  <si>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</si>
  <si>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</si>
  <si>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</si>
  <si>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</si>
  <si>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</si>
  <si>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</si>
  <si>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</si>
  <si>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</si>
  <si>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</si>
  <si>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</si>
  <si>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</si>
  <si>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</si>
  <si>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</si>
  <si>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</si>
  <si>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</si>
  <si>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</si>
  <si>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</si>
  <si>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</si>
  <si>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</si>
  <si>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</si>
  <si>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</si>
  <si>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</si>
  <si>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</si>
  <si>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</si>
  <si>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</si>
  <si>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</si>
  <si>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</si>
  <si>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</si>
  <si>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</si>
  <si>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</si>
  <si>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</si>
  <si>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</si>
  <si>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</si>
  <si>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</si>
  <si>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</si>
  <si>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</si>
  <si>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</si>
  <si>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</si>
  <si>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</si>
  <si>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</si>
  <si>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</si>
  <si>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</si>
  <si>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</si>
  <si>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</si>
  <si>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</si>
  <si>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</si>
  <si>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</si>
  <si>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</si>
  <si>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</si>
  <si>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</si>
  <si>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</si>
  <si>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</si>
  <si>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</si>
  <si>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</si>
  <si>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</si>
  <si>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</si>
  <si>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</si>
  <si>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</si>
  <si>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</si>
  <si>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</si>
  <si>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</si>
  <si>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</si>
  <si>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</si>
  <si>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</si>
  <si>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</si>
  <si>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</si>
  <si>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</si>
  <si>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</si>
  <si>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</si>
  <si>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</si>
  <si>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</si>
  <si>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</si>
  <si>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</si>
  <si>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</si>
  <si>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</si>
  <si>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</si>
  <si>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</si>
  <si>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</si>
  <si>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</si>
  <si>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</si>
  <si>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</si>
  <si>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</si>
  <si>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</si>
  <si>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</si>
  <si>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</si>
  <si>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</si>
  <si>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</si>
  <si>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</si>
  <si>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</si>
  <si>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</si>
  <si>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</si>
  <si>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</si>
  <si>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</si>
  <si>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</si>
  <si>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</si>
  <si>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</si>
  <si>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</si>
  <si>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</si>
  <si>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</si>
  <si>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</si>
  <si>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</si>
  <si>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</si>
  <si>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</si>
  <si>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</si>
  <si>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</si>
  <si>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</si>
  <si>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</si>
  <si>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</si>
  <si>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</si>
  <si>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</si>
  <si>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</si>
  <si>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</si>
  <si>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</si>
  <si>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</si>
  <si>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</si>
  <si>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</si>
  <si>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</si>
  <si>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</si>
  <si>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</si>
  <si>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</si>
  <si>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</si>
  <si>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</si>
  <si>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</si>
  <si>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</si>
  <si>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</si>
  <si>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</si>
  <si>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</si>
  <si>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</si>
  <si>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</si>
  <si>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</si>
  <si>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</si>
  <si>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</si>
  <si>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</si>
  <si>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</si>
  <si>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</si>
  <si>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</si>
  <si>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</si>
  <si>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</si>
  <si>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</si>
  <si>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</si>
  <si>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</si>
  <si>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</si>
  <si>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</si>
  <si>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</si>
  <si>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</si>
  <si>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</si>
  <si>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</si>
  <si>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</si>
  <si>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</si>
  <si>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</si>
  <si>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</si>
  <si>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</si>
  <si>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</si>
  <si>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</si>
  <si>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</si>
  <si>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</si>
  <si>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</si>
  <si>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</si>
  <si>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</si>
  <si>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</si>
  <si>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</si>
  <si>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</si>
  <si>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</si>
  <si>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</si>
  <si>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</si>
  <si>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</si>
  <si>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</si>
  <si>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</si>
  <si>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</si>
  <si>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</si>
  <si>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</si>
  <si>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</si>
  <si>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</si>
  <si>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</si>
  <si>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</si>
  <si>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</si>
  <si>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</si>
  <si>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</si>
  <si>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</si>
  <si>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</si>
  <si>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</si>
  <si>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</si>
  <si>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</si>
  <si>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</si>
  <si>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</si>
  <si>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</si>
  <si>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</si>
  <si>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</si>
  <si>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</si>
  <si>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</si>
  <si>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</si>
  <si>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</si>
  <si>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</si>
  <si>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</si>
  <si>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</si>
  <si>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</si>
  <si>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</si>
  <si>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</si>
  <si>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</si>
  <si>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</si>
  <si>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</si>
  <si>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</si>
  <si>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</si>
  <si>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</si>
  <si>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</si>
  <si>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</si>
  <si>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</si>
  <si>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</si>
  <si>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</si>
  <si>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</si>
  <si>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</si>
  <si>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</si>
  <si>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</si>
  <si>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</si>
  <si>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</si>
  <si>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</si>
  <si>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</si>
  <si>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</si>
  <si>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</si>
  <si>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</si>
  <si>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</si>
  <si>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</si>
  <si>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</si>
  <si>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</si>
  <si>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</si>
  <si>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</si>
  <si>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</si>
  <si>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</si>
  <si>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</si>
  <si>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</si>
  <si>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</si>
  <si>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</si>
  <si>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</si>
  <si>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</si>
  <si>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</si>
  <si>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</si>
  <si>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</si>
  <si>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</si>
  <si>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</si>
  <si>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</si>
  <si>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</si>
  <si>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</si>
  <si>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</si>
  <si>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</si>
  <si>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</si>
  <si>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</si>
  <si>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</si>
  <si>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</si>
  <si>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</si>
  <si>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</si>
  <si>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</si>
  <si>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</si>
  <si>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</si>
  <si>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</si>
  <si>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</si>
  <si>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</si>
  <si>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</si>
  <si>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</si>
  <si>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</si>
  <si>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</si>
  <si>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</si>
  <si>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</si>
  <si>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</si>
  <si>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</si>
  <si>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</si>
  <si>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</si>
  <si>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</si>
  <si>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</si>
  <si>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</si>
  <si>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</si>
  <si>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</si>
  <si>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</si>
  <si>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</si>
  <si>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</si>
  <si>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</si>
  <si>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</si>
  <si>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</si>
  <si>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</si>
  <si>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</si>
  <si>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</si>
  <si>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</si>
  <si>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</si>
  <si>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</si>
  <si>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</si>
  <si>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</si>
  <si>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</si>
  <si>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</si>
  <si>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</si>
  <si>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</si>
  <si>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</si>
  <si>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</si>
  <si>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</si>
  <si>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</si>
  <si>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</si>
  <si>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</si>
  <si>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</si>
  <si>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</si>
  <si>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</si>
  <si>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</si>
  <si>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</si>
  <si>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</si>
  <si>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</si>
  <si>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</si>
  <si>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</si>
  <si>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</si>
  <si>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</si>
  <si>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</si>
  <si>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</si>
  <si>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</si>
  <si>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</si>
  <si>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</si>
  <si>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</si>
  <si>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</si>
  <si>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</si>
  <si>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</si>
  <si>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</si>
  <si>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</si>
  <si>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</si>
  <si>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</si>
  <si>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</si>
  <si>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</si>
  <si>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</si>
  <si>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</si>
  <si>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</si>
  <si>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</si>
  <si>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</si>
  <si>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</si>
  <si>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</si>
  <si>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</si>
  <si>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</si>
  <si>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</si>
  <si>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</si>
  <si>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</si>
  <si>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</si>
  <si>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</si>
  <si>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</si>
  <si>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</si>
  <si>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</si>
  <si>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</si>
  <si>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</si>
  <si>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</si>
  <si>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</si>
  <si>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</si>
  <si>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</si>
  <si>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</si>
  <si>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</si>
  <si>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</si>
  <si>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</si>
  <si>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</si>
  <si>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</si>
  <si>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</si>
  <si>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</si>
  <si>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</si>
  <si>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</si>
  <si>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</si>
  <si>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</si>
  <si>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</si>
  <si>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</si>
  <si>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</si>
  <si>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</si>
  <si>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</si>
  <si>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</si>
  <si>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</si>
  <si>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</si>
  <si>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</si>
  <si>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</si>
  <si>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</si>
  <si>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</si>
  <si>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</si>
  <si>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</si>
  <si>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</si>
  <si>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</si>
  <si>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</si>
  <si>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</si>
  <si>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</si>
  <si>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</si>
  <si>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</si>
  <si>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</si>
  <si>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</si>
  <si>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</si>
  <si>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</si>
  <si>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</si>
  <si>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</si>
  <si>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</si>
  <si>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</si>
  <si>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</si>
  <si>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</si>
  <si>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</si>
  <si>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</si>
  <si>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</si>
  <si>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</si>
  <si>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</si>
  <si>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</si>
  <si>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</si>
  <si>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</si>
  <si>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</si>
  <si>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</si>
  <si>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</si>
  <si>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</si>
  <si>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</si>
  <si>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</si>
  <si>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</si>
  <si>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</si>
  <si>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</si>
  <si>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</si>
  <si>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</si>
  <si>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</si>
  <si>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</si>
  <si>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</si>
  <si>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</si>
  <si>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</si>
  <si>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</si>
  <si>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</si>
  <si>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</si>
  <si>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</si>
  <si>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</si>
  <si>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</si>
  <si>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</si>
  <si>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</si>
  <si>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</si>
  <si>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</si>
  <si>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</si>
  <si>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</si>
  <si>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</si>
  <si>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</si>
  <si>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</si>
  <si>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</si>
  <si>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</si>
  <si>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</si>
  <si>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</si>
  <si>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</si>
  <si>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</si>
  <si>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</si>
  <si>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</si>
  <si>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</si>
  <si>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</si>
  <si>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</si>
  <si>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</si>
  <si>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</si>
  <si>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</si>
  <si>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</si>
  <si>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</si>
  <si>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</si>
  <si>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</si>
  <si>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</si>
  <si>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</si>
  <si>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</si>
  <si>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</si>
  <si>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</si>
  <si>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</si>
  <si>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</si>
  <si>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</si>
  <si>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</si>
  <si>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</si>
  <si>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</si>
  <si>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</si>
  <si>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</si>
  <si>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</si>
  <si>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</si>
  <si>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</si>
  <si>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</si>
  <si>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</si>
  <si>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</si>
  <si>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</si>
  <si>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</si>
  <si>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</si>
  <si>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</si>
  <si>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</si>
  <si>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</si>
  <si>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</si>
  <si>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</si>
  <si>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</si>
  <si>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</si>
  <si>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</si>
  <si>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</si>
  <si>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</si>
  <si>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</si>
  <si>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</si>
  <si>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</si>
  <si>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</si>
  <si>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</si>
  <si>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</si>
  <si>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</si>
  <si>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</si>
  <si>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</si>
  <si>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</si>
  <si>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</si>
  <si>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</si>
  <si>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</si>
  <si>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</si>
  <si>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</si>
  <si>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</si>
  <si>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</si>
  <si>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</si>
  <si>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</si>
  <si>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</si>
  <si>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</si>
  <si>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</si>
  <si>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</si>
  <si>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</si>
  <si>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</si>
  <si>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</si>
  <si>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</si>
  <si>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</si>
  <si>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</si>
  <si>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</si>
  <si>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</si>
  <si>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</si>
  <si>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</si>
  <si>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</si>
  <si>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</si>
  <si>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</si>
  <si>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</si>
  <si>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</si>
  <si>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</si>
  <si>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</si>
  <si>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</si>
  <si>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</si>
  <si>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</si>
  <si>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</si>
  <si>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</si>
  <si>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</si>
  <si>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</si>
  <si>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</si>
  <si>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</si>
  <si>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</si>
  <si>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</si>
  <si>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</si>
  <si>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</si>
  <si>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</si>
  <si>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</si>
  <si>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</si>
  <si>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</si>
  <si>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</si>
  <si>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</si>
  <si>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</si>
  <si>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</si>
  <si>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</si>
  <si>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</si>
  <si>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</si>
  <si>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</si>
  <si>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</si>
  <si>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</si>
  <si>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</si>
  <si>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</si>
  <si>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</si>
  <si>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</si>
  <si>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</si>
  <si>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</si>
  <si>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</si>
  <si>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</si>
  <si>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</si>
  <si>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</si>
  <si>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</si>
  <si>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</si>
  <si>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</si>
  <si>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</si>
  <si>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</si>
  <si>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</si>
  <si>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</si>
  <si>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</si>
  <si>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</si>
  <si>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</si>
  <si>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</si>
  <si>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</si>
  <si>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</si>
  <si>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</si>
  <si>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</si>
  <si>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</si>
  <si>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</si>
  <si>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</si>
  <si>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</si>
  <si>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</si>
  <si>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</si>
  <si>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</si>
  <si>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</si>
  <si>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</si>
  <si>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</si>
  <si>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</si>
  <si>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</si>
  <si>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</si>
  <si>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</si>
  <si>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</si>
  <si>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</si>
  <si>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</si>
  <si>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</si>
  <si>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</si>
  <si>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</si>
  <si>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</si>
  <si>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</si>
  <si>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</si>
  <si>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</si>
  <si>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</si>
  <si>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</si>
  <si>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</si>
  <si>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</si>
  <si>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</si>
  <si>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</si>
  <si>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</si>
  <si>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</si>
  <si>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</si>
  <si>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</si>
  <si>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</si>
  <si>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</si>
  <si>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</si>
  <si>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</si>
  <si>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</si>
  <si>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</si>
  <si>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</si>
  <si>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</si>
  <si>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</si>
  <si>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</si>
  <si>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</si>
  <si>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</si>
  <si>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</si>
  <si>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</si>
  <si>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</si>
  <si>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</si>
  <si>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</si>
  <si>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</si>
  <si>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</si>
  <si>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</si>
  <si>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</si>
  <si>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</si>
  <si>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</si>
  <si>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</si>
  <si>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</si>
  <si>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</si>
  <si>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</si>
  <si>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</si>
  <si>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</si>
  <si>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</si>
  <si>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</si>
  <si>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</si>
  <si>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</si>
  <si>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</si>
  <si>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</si>
  <si>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</si>
  <si>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</si>
  <si>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</si>
  <si>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</si>
  <si>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</si>
  <si>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</si>
  <si>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</si>
  <si>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</si>
  <si>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</si>
  <si>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</si>
  <si>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</si>
  <si>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</si>
  <si>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</si>
  <si>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</si>
  <si>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</si>
  <si>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</si>
  <si>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</si>
  <si>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</si>
  <si>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</si>
  <si>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</si>
  <si>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</si>
  <si>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</si>
  <si>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</si>
  <si>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</si>
  <si>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</si>
  <si>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</si>
  <si>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</si>
  <si>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</si>
  <si>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</si>
  <si>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</si>
  <si>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</si>
  <si>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</si>
  <si>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</si>
  <si>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</si>
  <si>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</si>
  <si>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</si>
  <si>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</si>
  <si>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</si>
  <si>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</si>
  <si>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</si>
  <si>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</si>
  <si>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</si>
  <si>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</si>
  <si>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</si>
  <si>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</si>
  <si>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</si>
  <si>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</si>
  <si>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</si>
  <si>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</si>
  <si>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</si>
  <si>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</si>
  <si>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</si>
  <si>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</si>
  <si>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</si>
  <si>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</si>
  <si>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</si>
  <si>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</si>
  <si>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</si>
  <si>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</si>
  <si>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</si>
  <si>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</si>
  <si>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</si>
  <si>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</si>
  <si>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</si>
  <si>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</si>
  <si>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</si>
  <si>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</si>
  <si>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</si>
  <si>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</si>
  <si>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</si>
  <si>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</si>
  <si>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</si>
  <si>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</si>
  <si>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</si>
  <si>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</si>
  <si>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</si>
  <si>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</si>
  <si>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</si>
  <si>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</si>
  <si>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</si>
  <si>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</si>
  <si>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</si>
  <si>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</si>
  <si>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</si>
  <si>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</si>
  <si>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</si>
  <si>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</si>
  <si>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</si>
  <si>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</si>
  <si>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</si>
  <si>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</si>
  <si>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</si>
  <si>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</si>
  <si>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</si>
  <si>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</si>
  <si>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</si>
  <si>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</si>
  <si>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</si>
  <si>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</si>
  <si>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</si>
  <si>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</si>
  <si>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</si>
  <si>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</si>
  <si>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</si>
  <si>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</si>
  <si>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</si>
  <si>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</si>
  <si>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</si>
  <si>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</si>
  <si>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</si>
  <si>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</si>
  <si>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</si>
  <si>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</si>
  <si>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</si>
  <si>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</si>
  <si>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</si>
  <si>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</si>
  <si>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</si>
  <si>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</si>
  <si>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</si>
  <si>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</si>
  <si>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</si>
  <si>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</si>
  <si>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</si>
  <si>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</si>
  <si>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</si>
  <si>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</si>
  <si>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</si>
  <si>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</si>
  <si>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</si>
  <si>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</si>
  <si>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</si>
  <si>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</si>
  <si>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</si>
  <si>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</si>
  <si>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</si>
  <si>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</si>
  <si>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</si>
  <si>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</si>
  <si>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</si>
  <si>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</si>
  <si>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</si>
  <si>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</si>
  <si>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</si>
  <si>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</si>
  <si>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</si>
  <si>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</si>
  <si>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</si>
  <si>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</si>
  <si>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</si>
  <si>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</si>
  <si>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</si>
  <si>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</si>
  <si>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</si>
  <si>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</si>
  <si>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</si>
  <si>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</si>
  <si>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</si>
  <si>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</si>
  <si>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</si>
  <si>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</si>
  <si>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</si>
  <si>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</si>
  <si>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</si>
  <si>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</si>
  <si>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</si>
  <si>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</si>
  <si>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</si>
  <si>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</si>
  <si>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</si>
  <si>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</si>
  <si>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</si>
  <si>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</si>
  <si>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</si>
  <si>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</si>
  <si>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</si>
  <si>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</si>
  <si>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</si>
  <si>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</si>
  <si>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</si>
  <si>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</si>
  <si>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</si>
  <si>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</si>
  <si>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</si>
  <si>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</si>
  <si>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</si>
  <si>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</si>
  <si>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</si>
  <si>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</si>
  <si>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</si>
  <si>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</si>
  <si>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</si>
  <si>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</si>
  <si>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</si>
  <si>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</si>
  <si>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</si>
  <si>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</si>
  <si>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</si>
  <si>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</si>
  <si>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</si>
  <si>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</si>
  <si>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</si>
  <si>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</si>
  <si>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</si>
  <si>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</si>
  <si>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</si>
  <si>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</si>
  <si>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</si>
  <si>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</si>
  <si>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</si>
  <si>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</si>
  <si>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</si>
  <si>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</si>
  <si>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</si>
  <si>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</si>
  <si>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</si>
  <si>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</si>
  <si>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</si>
  <si>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</si>
  <si>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</si>
  <si>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</si>
  <si>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</si>
  <si>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</si>
  <si>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</si>
  <si>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</si>
  <si>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</si>
  <si>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</si>
  <si>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</si>
  <si>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</si>
  <si>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</si>
  <si>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</si>
  <si>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</si>
  <si>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</si>
  <si>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</si>
  <si>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</si>
  <si>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</si>
  <si>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</si>
  <si>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</si>
  <si>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</si>
  <si>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</si>
  <si>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</si>
  <si>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</si>
  <si>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</si>
  <si>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</si>
  <si>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</si>
  <si>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</si>
  <si>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</si>
  <si>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</si>
  <si>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</si>
  <si>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</si>
  <si>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</si>
  <si>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</si>
  <si>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</si>
  <si>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</si>
  <si>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</si>
  <si>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</si>
  <si>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</si>
  <si>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</si>
  <si>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</si>
  <si>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</si>
  <si>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</si>
  <si>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</si>
  <si>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</si>
  <si>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</si>
  <si>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</si>
  <si>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</si>
  <si>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</si>
  <si>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</si>
  <si>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</si>
  <si>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</si>
  <si>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</si>
  <si>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</si>
  <si>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</si>
  <si>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</si>
  <si>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</si>
  <si>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</si>
  <si>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</si>
  <si>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</si>
  <si>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</si>
  <si>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</si>
  <si>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</si>
  <si>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</si>
  <si>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</si>
  <si>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</si>
  <si>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</si>
  <si>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</si>
  <si>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</si>
  <si>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</si>
  <si>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</si>
  <si>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</si>
  <si>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</si>
  <si>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</si>
  <si>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</si>
  <si>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</si>
  <si>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</si>
  <si>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</si>
  <si>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</si>
  <si>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</si>
  <si>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</si>
  <si>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</si>
  <si>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</si>
  <si>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</si>
  <si>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</si>
  <si>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</si>
  <si>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</si>
  <si>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</si>
  <si>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</si>
  <si>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</si>
  <si>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</si>
  <si>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</si>
  <si>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</si>
  <si>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</si>
  <si>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</si>
  <si>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</si>
  <si>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</si>
  <si>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</si>
  <si>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</si>
  <si>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</si>
  <si>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</si>
  <si>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</si>
  <si>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</si>
  <si>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</si>
  <si>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</si>
  <si>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</si>
  <si>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</si>
  <si>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</si>
  <si>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</si>
  <si>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</si>
  <si>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</si>
  <si>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</si>
  <si>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</si>
  <si>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</si>
  <si>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</si>
  <si>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</si>
  <si>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</si>
  <si>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</si>
  <si>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</si>
  <si>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</si>
  <si>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</si>
  <si>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</si>
  <si>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</si>
  <si>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</si>
  <si>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</si>
  <si>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</si>
  <si>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</si>
  <si>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</si>
  <si>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</si>
  <si>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</si>
  <si>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</si>
  <si>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</si>
  <si>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</si>
  <si>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</si>
  <si>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</si>
  <si>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</si>
  <si>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</si>
  <si>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</si>
  <si>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</si>
  <si>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</si>
  <si>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</si>
  <si>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</si>
  <si>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</si>
  <si>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</si>
  <si>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</si>
  <si>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</si>
  <si>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</si>
  <si>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</si>
  <si>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</si>
  <si>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</si>
  <si>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</si>
  <si>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</si>
  <si>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</si>
  <si>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</si>
  <si>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</si>
  <si>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</si>
  <si>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</si>
  <si>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</si>
  <si>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</si>
  <si>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</si>
  <si>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</si>
  <si>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</si>
  <si>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</si>
  <si>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</si>
  <si>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</si>
  <si>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</si>
  <si>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</si>
  <si>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</si>
  <si>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</si>
  <si>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</si>
  <si>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</si>
  <si>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</si>
  <si>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</si>
  <si>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</si>
  <si>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</si>
  <si>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</si>
  <si>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</si>
  <si>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</si>
  <si>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</si>
  <si>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</si>
  <si>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</si>
  <si>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</si>
  <si>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</si>
  <si>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</si>
  <si>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</si>
  <si>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</si>
  <si>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</si>
  <si>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</si>
  <si>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</si>
  <si>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</si>
  <si>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</si>
  <si>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</si>
  <si>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</si>
  <si>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</si>
  <si>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</si>
  <si>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</si>
  <si>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</si>
  <si>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</si>
  <si>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</si>
  <si>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</si>
  <si>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</si>
  <si>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</si>
  <si>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</si>
  <si>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</si>
  <si>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</si>
  <si>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</si>
  <si>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</si>
  <si>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</si>
  <si>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</si>
  <si>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</si>
  <si>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</si>
  <si>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</si>
  <si>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</si>
  <si>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</si>
  <si>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</si>
  <si>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</si>
  <si>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</si>
  <si>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</si>
  <si>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</si>
  <si>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</si>
  <si>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</si>
  <si>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</si>
  <si>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</si>
  <si>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</si>
  <si>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</si>
  <si>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</si>
  <si>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</si>
  <si>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</si>
  <si>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</si>
  <si>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</si>
  <si>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</si>
  <si>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</si>
  <si>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</si>
  <si>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</si>
  <si>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</si>
  <si>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</si>
  <si>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</si>
  <si>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</si>
  <si>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</si>
  <si>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</si>
  <si>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</si>
  <si>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</si>
  <si>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</si>
  <si>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</si>
  <si>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</si>
  <si>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</si>
  <si>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</si>
  <si>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</si>
  <si>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</si>
  <si>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</si>
  <si>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</si>
  <si>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</si>
  <si>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</si>
  <si>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</si>
  <si>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</si>
  <si>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</si>
  <si>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</si>
  <si>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</si>
  <si>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</si>
  <si>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</si>
  <si>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</si>
  <si>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</si>
  <si>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</si>
  <si>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</si>
  <si>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</si>
  <si>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</si>
  <si>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</si>
  <si>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</si>
  <si>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</si>
  <si>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</si>
  <si>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</si>
  <si>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</si>
  <si>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</si>
  <si>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</si>
  <si>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</si>
  <si>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</si>
  <si>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</si>
  <si>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</si>
  <si>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</si>
  <si>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</si>
  <si>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</si>
  <si>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</si>
  <si>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</si>
  <si>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</si>
  <si>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</si>
  <si>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</si>
  <si>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</si>
  <si>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</si>
  <si>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</si>
  <si>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</si>
  <si>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</si>
  <si>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</si>
  <si>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</si>
  <si>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</si>
  <si>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</si>
  <si>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</si>
  <si>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</si>
  <si>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</si>
  <si>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</si>
  <si>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</si>
  <si>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</si>
  <si>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</si>
  <si>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</si>
  <si>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</si>
  <si>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</si>
  <si>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</si>
  <si>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</si>
  <si>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</si>
  <si>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</si>
  <si>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</si>
  <si>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</si>
  <si>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</si>
  <si>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</si>
  <si>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</si>
  <si>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</si>
  <si>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</si>
  <si>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</si>
  <si>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</si>
  <si>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</si>
  <si>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</si>
  <si>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</si>
  <si>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</si>
  <si>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</si>
  <si>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</si>
  <si>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</si>
  <si>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</si>
  <si>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</si>
  <si>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</si>
  <si>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</si>
  <si>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</si>
  <si>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</si>
  <si>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</si>
  <si>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</si>
  <si>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</si>
  <si>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</si>
  <si>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</si>
  <si>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</si>
  <si>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</si>
  <si>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</si>
  <si>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</si>
  <si>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</si>
  <si>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</si>
  <si>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</si>
  <si>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</si>
  <si>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</si>
  <si>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</si>
  <si>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</si>
  <si>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</si>
  <si>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</si>
  <si>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</si>
  <si>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</si>
  <si>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</si>
  <si>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</si>
  <si>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</si>
  <si>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</si>
  <si>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</si>
  <si>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</si>
  <si>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</si>
  <si>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</si>
  <si>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</si>
  <si>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</si>
  <si>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</si>
  <si>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</si>
  <si>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</si>
  <si>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</si>
  <si>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</si>
  <si>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</si>
  <si>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</si>
  <si>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</si>
  <si>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</si>
  <si>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</si>
  <si>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</si>
  <si>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</si>
  <si>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</si>
  <si>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</si>
  <si>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</si>
  <si>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</si>
  <si>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</si>
  <si>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</si>
  <si>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</si>
  <si>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</si>
  <si>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</si>
  <si>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</si>
  <si>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</si>
  <si>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</si>
  <si>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</si>
  <si>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</si>
  <si>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</si>
  <si>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</si>
  <si>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</si>
  <si>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</si>
  <si>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</si>
  <si>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</si>
  <si>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</si>
  <si>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</si>
  <si>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</si>
  <si>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</si>
  <si>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</si>
  <si>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</si>
  <si>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</si>
  <si>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</si>
  <si>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</si>
  <si>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</si>
  <si>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</si>
  <si>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</si>
  <si>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</si>
  <si>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</si>
  <si>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</si>
  <si>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</si>
  <si>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</si>
  <si>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</si>
  <si>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</si>
  <si>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</si>
  <si>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</si>
  <si>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</si>
  <si>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</si>
  <si>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</si>
  <si>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</si>
  <si>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</si>
  <si>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</si>
  <si>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</si>
  <si>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</si>
  <si>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</si>
  <si>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</si>
  <si>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</si>
  <si>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</si>
  <si>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</si>
  <si>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</si>
  <si>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</si>
  <si>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</si>
  <si>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</si>
  <si>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</si>
  <si>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</si>
  <si>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</si>
  <si>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</si>
  <si>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</si>
  <si>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</si>
  <si>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</si>
  <si>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</si>
  <si>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</si>
  <si>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</si>
  <si>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</si>
  <si>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</si>
  <si>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</si>
  <si>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</si>
  <si>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</si>
  <si>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</si>
  <si>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</si>
  <si>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</si>
  <si>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</si>
  <si>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</si>
  <si>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</si>
  <si>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</si>
  <si>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</si>
  <si>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</si>
  <si>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</si>
  <si>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</si>
  <si>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</si>
  <si>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</si>
  <si>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</si>
  <si>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</si>
  <si>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</si>
  <si>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</si>
  <si>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</si>
  <si>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</si>
  <si>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</si>
  <si>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</si>
  <si>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</si>
  <si>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</si>
  <si>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</si>
  <si>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</si>
  <si>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</si>
  <si>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</si>
  <si>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</si>
  <si>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</si>
  <si>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</si>
  <si>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</si>
  <si>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</si>
  <si>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</si>
  <si>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</si>
  <si>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</si>
  <si>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</si>
  <si>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</si>
  <si>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</si>
  <si>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</si>
  <si>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</si>
  <si>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</si>
  <si>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</si>
  <si>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</si>
  <si>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</si>
  <si>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</si>
  <si>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</si>
  <si>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</si>
  <si>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</si>
  <si>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</si>
  <si>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</si>
  <si>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</si>
  <si>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</si>
  <si>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</si>
  <si>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</si>
  <si>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</si>
  <si>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</si>
  <si>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</si>
  <si>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</si>
  <si>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</si>
  <si>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</si>
  <si>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</si>
  <si>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</si>
  <si>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</si>
  <si>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</si>
  <si>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</si>
  <si>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</si>
  <si>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</si>
  <si>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</si>
  <si>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</si>
  <si>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</si>
  <si>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</si>
  <si>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</si>
  <si>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</si>
  <si>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</si>
  <si>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</si>
  <si>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</si>
  <si>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</si>
  <si>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</si>
  <si>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</si>
  <si>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</si>
  <si>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</si>
  <si>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</si>
  <si>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</si>
  <si>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</si>
  <si>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</si>
  <si>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</si>
  <si>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</si>
  <si>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</si>
  <si>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</si>
  <si>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</si>
  <si>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</si>
  <si>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</si>
  <si>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</si>
  <si>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</si>
  <si>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</si>
  <si>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</si>
  <si>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</si>
  <si>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</si>
  <si>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</si>
  <si>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</si>
  <si>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</si>
  <si>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</si>
  <si>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</si>
  <si>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</si>
  <si>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</si>
  <si>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</si>
  <si>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</si>
  <si>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</si>
  <si>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</si>
  <si>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</si>
  <si>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</si>
  <si>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</si>
  <si>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</si>
  <si>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</si>
  <si>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</si>
  <si>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</si>
  <si>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</si>
  <si>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</si>
  <si>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</si>
  <si>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</si>
  <si>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</si>
  <si>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</si>
  <si>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</si>
  <si>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</si>
  <si>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</si>
  <si>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</si>
  <si>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</si>
  <si>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</si>
  <si>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</si>
  <si>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</si>
  <si>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</si>
  <si>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</si>
  <si>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</si>
  <si>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</si>
  <si>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</si>
  <si>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</si>
  <si>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</si>
  <si>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</si>
  <si>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</si>
  <si>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</si>
  <si>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</si>
  <si>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</si>
  <si>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</si>
  <si>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</si>
  <si>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</si>
  <si>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</si>
  <si>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</si>
  <si>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</si>
  <si>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</si>
  <si>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</si>
  <si>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</si>
  <si>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</si>
  <si>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</si>
  <si>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</si>
  <si>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</si>
  <si>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</si>
  <si>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</si>
  <si>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</si>
  <si>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</si>
  <si>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</si>
  <si>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</si>
  <si>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</si>
  <si>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</si>
  <si>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</si>
  <si>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</si>
  <si>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</si>
  <si>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</si>
  <si>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</si>
  <si>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</si>
  <si>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</si>
  <si>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</si>
  <si>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</si>
  <si>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</si>
  <si>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</si>
  <si>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</si>
  <si>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</si>
  <si>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</si>
  <si>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</si>
  <si>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</si>
  <si>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</si>
  <si>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</si>
  <si>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</si>
  <si>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</si>
  <si>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</si>
  <si>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</si>
  <si>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</si>
  <si>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</si>
  <si>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</si>
  <si>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</si>
  <si>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</si>
  <si>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</si>
  <si>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</si>
  <si>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</si>
  <si>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</si>
  <si>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</si>
  <si>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</si>
  <si>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</si>
  <si>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</si>
  <si>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</si>
  <si>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</si>
  <si>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</si>
  <si>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</si>
  <si>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</si>
  <si>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</si>
  <si>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</si>
  <si>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</si>
  <si>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</si>
  <si>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</si>
  <si>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</si>
  <si>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</si>
  <si>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</si>
  <si>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</si>
  <si>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</si>
  <si>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</si>
  <si>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</si>
  <si>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</si>
  <si>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</si>
  <si>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</si>
  <si>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</si>
  <si>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</si>
  <si>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</si>
  <si>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</si>
  <si>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</si>
  <si>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</si>
  <si>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</si>
  <si>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</si>
  <si>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</si>
  <si>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</si>
  <si>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</si>
  <si>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</si>
  <si>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</si>
  <si>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</si>
  <si>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</si>
  <si>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</si>
  <si>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</si>
  <si>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</si>
  <si>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</si>
  <si>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</si>
  <si>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</si>
  <si>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</si>
  <si>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</si>
  <si>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</si>
  <si>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</si>
  <si>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</si>
  <si>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</si>
  <si>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</si>
  <si>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</si>
  <si>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</si>
  <si>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</si>
  <si>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</si>
  <si>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</si>
  <si>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</si>
  <si>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</si>
  <si>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</si>
  <si>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</si>
  <si>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</si>
  <si>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</si>
  <si>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</si>
  <si>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</si>
  <si>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</si>
  <si>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</si>
  <si>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</si>
  <si>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</si>
  <si>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</si>
  <si>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</si>
  <si>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</si>
  <si>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</si>
  <si>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</si>
  <si>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</si>
  <si>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</si>
  <si>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</si>
  <si>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</si>
  <si>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</si>
  <si>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</si>
  <si>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</si>
  <si>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</si>
  <si>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</si>
  <si>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</si>
  <si>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</si>
  <si>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</si>
  <si>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</si>
  <si>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</si>
  <si>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</si>
  <si>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</si>
  <si>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</si>
  <si>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</si>
  <si>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</si>
  <si>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</si>
  <si>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</si>
  <si>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</si>
  <si>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</si>
  <si>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</si>
  <si>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</si>
  <si>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</si>
  <si>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</si>
  <si>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</si>
  <si>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</si>
  <si>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</si>
  <si>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</si>
  <si>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</si>
  <si>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</si>
  <si>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</si>
  <si>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</si>
  <si>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</si>
  <si>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</si>
  <si>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</si>
  <si>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</si>
  <si>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</si>
  <si>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</si>
  <si>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</si>
  <si>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</si>
  <si>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</si>
  <si>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</si>
  <si>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</si>
  <si>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</si>
  <si>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</si>
  <si>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</si>
  <si>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</si>
  <si>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</si>
  <si>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</si>
  <si>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</si>
  <si>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</si>
  <si>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</si>
  <si>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</si>
  <si>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</si>
  <si>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</si>
  <si>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</si>
  <si>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</si>
  <si>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</si>
  <si>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</si>
  <si>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</si>
  <si>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</si>
  <si>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</si>
  <si>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</si>
  <si>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</si>
  <si>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</si>
  <si>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</si>
  <si>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</si>
  <si>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</si>
  <si>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</si>
  <si>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</si>
  <si>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</si>
  <si>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</si>
  <si>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</si>
  <si>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</si>
  <si>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</si>
  <si>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</si>
  <si>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</si>
  <si>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</si>
  <si>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</si>
  <si>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</si>
  <si>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</si>
  <si>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</si>
  <si>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</si>
  <si>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</si>
  <si>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</si>
  <si>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</si>
  <si>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</si>
  <si>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</si>
  <si>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</si>
  <si>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</si>
  <si>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</si>
  <si>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</si>
  <si>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</si>
  <si>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</si>
  <si>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</si>
  <si>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</si>
  <si>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</si>
  <si>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</si>
  <si>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</si>
  <si>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</si>
  <si>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</si>
  <si>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</si>
  <si>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</si>
  <si>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</si>
  <si>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</si>
  <si>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</si>
  <si>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</si>
  <si>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</si>
  <si>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</si>
  <si>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</si>
  <si>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</si>
  <si>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</si>
  <si>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</si>
  <si>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</si>
  <si>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</si>
  <si>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</si>
  <si>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</si>
  <si>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</si>
  <si>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</si>
  <si>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</si>
  <si>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</si>
  <si>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</si>
  <si>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</si>
  <si>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</si>
  <si>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</si>
  <si>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</si>
  <si>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</si>
  <si>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</si>
  <si>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</si>
  <si>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</si>
  <si>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</si>
  <si>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</si>
  <si>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</si>
  <si>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</si>
  <si>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</si>
  <si>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</si>
  <si>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</si>
  <si>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</si>
  <si>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</si>
  <si>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</si>
  <si>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</si>
  <si>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</si>
  <si>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</si>
  <si>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</si>
  <si>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</si>
  <si>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</si>
  <si>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</si>
  <si>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</si>
  <si>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</si>
  <si>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</si>
  <si>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</si>
  <si>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</si>
  <si>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</si>
  <si>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</si>
  <si>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</si>
  <si>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</si>
  <si>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</si>
  <si>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</si>
  <si>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</si>
  <si>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</si>
  <si>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</si>
  <si>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</si>
  <si>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</si>
  <si>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</si>
  <si>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</si>
  <si>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</si>
  <si>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</si>
  <si>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</si>
  <si>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</si>
  <si>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</si>
  <si>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</si>
  <si>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</si>
  <si>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</si>
  <si>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</si>
  <si>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</si>
  <si>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</si>
  <si>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</si>
  <si>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</si>
  <si>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</si>
  <si>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</si>
  <si>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</si>
  <si>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</si>
  <si>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</si>
  <si>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</si>
  <si>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</si>
  <si>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</si>
  <si>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</si>
  <si>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</si>
  <si>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</si>
  <si>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</si>
  <si>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</si>
  <si>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</si>
  <si>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</si>
  <si>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</si>
  <si>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</si>
  <si>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</si>
  <si>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</si>
  <si>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</si>
  <si>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</si>
  <si>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</si>
  <si>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</si>
  <si>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</si>
  <si>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</si>
  <si>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</si>
  <si>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</si>
  <si>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</si>
  <si>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</si>
  <si>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</si>
  <si>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</si>
  <si>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</si>
  <si>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</si>
  <si>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</si>
  <si>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</si>
  <si>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</si>
  <si>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</si>
  <si>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</si>
  <si>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</si>
  <si>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</si>
  <si>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</si>
  <si>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</si>
  <si>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</si>
  <si>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</si>
  <si>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</si>
  <si>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</si>
  <si>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</si>
  <si>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</si>
  <si>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</si>
  <si>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</si>
  <si>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</si>
  <si>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</si>
  <si>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</si>
  <si>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</si>
  <si>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</si>
  <si>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</si>
  <si>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</si>
  <si>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</si>
  <si>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</si>
  <si>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</si>
  <si>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</si>
  <si>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</si>
  <si>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</si>
  <si>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</si>
  <si>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</si>
  <si>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</si>
  <si>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</si>
  <si>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</si>
  <si>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</si>
  <si>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</si>
  <si>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</si>
  <si>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</si>
  <si>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</si>
  <si>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</si>
  <si>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</si>
  <si>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</si>
  <si>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</si>
  <si>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</si>
  <si>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</si>
  <si>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</si>
  <si>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</si>
  <si>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</si>
  <si>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</si>
  <si>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</si>
  <si>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</si>
  <si>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</si>
  <si>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</si>
  <si>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</si>
  <si>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</si>
  <si>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</si>
  <si>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</si>
  <si>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</si>
  <si>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</si>
  <si>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</si>
  <si>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</si>
  <si>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</si>
  <si>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</si>
  <si>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</si>
  <si>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</si>
  <si>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</si>
  <si>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</si>
  <si>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</si>
  <si>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</si>
  <si>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</si>
  <si>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</si>
  <si>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</si>
  <si>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</si>
  <si>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</si>
  <si>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</si>
  <si>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</si>
  <si>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</si>
  <si>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</si>
  <si>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</si>
  <si>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</si>
  <si>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</si>
  <si>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</si>
  <si>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</si>
  <si>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</si>
  <si>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</si>
  <si>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</si>
  <si>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</si>
  <si>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</si>
  <si>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</si>
  <si>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</si>
  <si>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</si>
  <si>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</si>
  <si>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</si>
  <si>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</si>
  <si>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</si>
  <si>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</si>
  <si>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</si>
  <si>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</si>
  <si>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</si>
  <si>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</si>
  <si>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</si>
  <si>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</si>
  <si>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</si>
  <si>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</si>
  <si>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</si>
  <si>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</si>
  <si>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</si>
  <si>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</si>
  <si>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</si>
  <si>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</si>
  <si>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</si>
  <si>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</si>
  <si>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</si>
  <si>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</si>
  <si>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</si>
  <si>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</si>
  <si>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</si>
  <si>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</si>
  <si>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</si>
  <si>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</si>
  <si>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</si>
  <si>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</si>
  <si>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</si>
  <si>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</si>
  <si>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</si>
  <si>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</si>
  <si>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</si>
  <si>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</si>
  <si>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</si>
  <si>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</si>
  <si>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</si>
  <si>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</si>
  <si>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</si>
  <si>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</si>
  <si>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</si>
  <si>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</si>
  <si>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</si>
  <si>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</si>
  <si>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</si>
  <si>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</si>
  <si>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</si>
  <si>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</si>
  <si>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</si>
  <si>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</si>
  <si>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</si>
  <si>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</si>
  <si>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</si>
  <si>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</si>
  <si>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</si>
  <si>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</si>
  <si>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</si>
  <si>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</si>
  <si>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</si>
  <si>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</si>
  <si>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</si>
  <si>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</si>
  <si>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</si>
  <si>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</si>
  <si>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</si>
  <si>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</si>
  <si>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</si>
  <si>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</si>
  <si>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</si>
  <si>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</si>
  <si>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</si>
  <si>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</si>
  <si>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</si>
  <si>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</si>
  <si>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</si>
  <si>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</si>
  <si>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</si>
  <si>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</si>
  <si>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</si>
  <si>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</si>
  <si>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</si>
  <si>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</si>
  <si>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</si>
  <si>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</si>
  <si>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</si>
  <si>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</si>
  <si>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</si>
  <si>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</si>
  <si>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</si>
  <si>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</si>
  <si>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</si>
  <si>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</si>
  <si>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</si>
  <si>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</si>
  <si>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</si>
  <si>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</si>
  <si>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</si>
  <si>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</si>
  <si>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</si>
  <si>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</si>
  <si>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</si>
  <si>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</si>
  <si>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</si>
  <si>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</si>
  <si>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</si>
  <si>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</si>
  <si>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</si>
  <si>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</si>
  <si>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</si>
  <si>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</si>
  <si>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</si>
  <si>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</si>
  <si>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</si>
  <si>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</si>
  <si>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</si>
  <si>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</si>
  <si>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</si>
  <si>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</si>
  <si>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</si>
  <si>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</si>
  <si>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</si>
  <si>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</si>
  <si>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</si>
  <si>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</si>
  <si>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</si>
  <si>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</si>
  <si>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</si>
  <si>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</si>
  <si>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</si>
  <si>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</si>
  <si>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</si>
  <si>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</si>
  <si>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</si>
  <si>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</si>
  <si>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</si>
  <si>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</si>
  <si>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</si>
  <si>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</si>
  <si>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</si>
  <si>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</si>
  <si>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</si>
  <si>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</si>
  <si>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</si>
  <si>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</si>
  <si>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</si>
  <si>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</si>
  <si>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</si>
  <si>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</si>
  <si>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</si>
  <si>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</si>
  <si>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</si>
  <si>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</si>
  <si>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</si>
  <si>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</si>
  <si>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</si>
  <si>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</si>
  <si>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</si>
  <si>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</si>
  <si>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</si>
  <si>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</si>
  <si>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</si>
  <si>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</si>
  <si>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</si>
  <si>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</si>
  <si>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</si>
  <si>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</si>
  <si>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</si>
  <si>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</si>
  <si>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</si>
  <si>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</si>
  <si>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</si>
  <si>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</si>
  <si>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</si>
  <si>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</si>
  <si>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</si>
  <si>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</si>
  <si>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</si>
  <si>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</si>
  <si>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</si>
  <si>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</si>
  <si>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</si>
  <si>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</si>
  <si>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</si>
  <si>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</si>
  <si>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</si>
  <si>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</si>
  <si>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</si>
  <si>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</si>
  <si>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</si>
  <si>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</si>
  <si>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</si>
  <si>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</si>
  <si>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</si>
  <si>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</si>
  <si>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</si>
  <si>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</si>
  <si>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</si>
  <si>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</si>
  <si>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</si>
  <si>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</si>
  <si>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</si>
  <si>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</si>
  <si>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</si>
  <si>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</si>
  <si>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</si>
  <si>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</si>
  <si>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</si>
  <si>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</si>
  <si>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</si>
  <si>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</si>
  <si>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</si>
  <si>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</si>
  <si>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</si>
  <si>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</si>
  <si>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</si>
  <si>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</si>
  <si>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</si>
  <si>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</si>
  <si>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</si>
  <si>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</si>
  <si>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</si>
  <si>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</si>
  <si>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</si>
  <si>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</si>
  <si>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</si>
  <si>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</si>
  <si>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</si>
  <si>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</si>
  <si>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</si>
  <si>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</si>
  <si>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</si>
  <si>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</si>
  <si>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</si>
  <si>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</si>
  <si>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</si>
  <si>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</si>
  <si>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</si>
  <si>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</si>
  <si>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</si>
  <si>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</si>
  <si>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</si>
  <si>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</si>
  <si>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</si>
  <si>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</si>
  <si>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</si>
  <si>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</si>
  <si>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</si>
  <si>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</si>
  <si>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</si>
  <si>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</si>
  <si>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</si>
  <si>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</si>
  <si>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</si>
  <si>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</si>
  <si>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</si>
  <si>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</si>
  <si>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</si>
  <si>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</si>
  <si>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</si>
  <si>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</si>
  <si>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</si>
  <si>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</si>
  <si>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</si>
  <si>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</si>
  <si>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</si>
  <si>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</si>
  <si>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</si>
  <si>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</si>
  <si>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</si>
  <si>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</si>
  <si>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</si>
  <si>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</si>
  <si>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</si>
  <si>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</si>
  <si>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</si>
  <si>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</si>
  <si>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</si>
  <si>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</si>
  <si>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</si>
  <si>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</si>
  <si>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</si>
  <si>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</si>
  <si>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</si>
  <si>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</si>
  <si>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</si>
  <si>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</si>
  <si>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</si>
  <si>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</si>
  <si>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</si>
  <si>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</si>
  <si>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</si>
  <si>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</si>
  <si>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</si>
  <si>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</si>
  <si>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</si>
  <si>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</si>
  <si>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</si>
  <si>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</si>
  <si>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</si>
  <si>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</si>
  <si>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</si>
  <si>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</si>
  <si>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</si>
  <si>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</si>
  <si>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</si>
  <si>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</si>
  <si>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</si>
  <si>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</si>
  <si>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</si>
  <si>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</si>
  <si>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</si>
  <si>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</si>
  <si>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</si>
  <si>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</si>
  <si>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</si>
  <si>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</si>
  <si>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</si>
  <si>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</si>
  <si>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</si>
  <si>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</si>
  <si>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</si>
  <si>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</si>
  <si>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</si>
  <si>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</si>
  <si>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</si>
  <si>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</si>
  <si>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</si>
  <si>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</si>
  <si>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</si>
  <si>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</si>
  <si>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</si>
  <si>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</si>
  <si>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</si>
  <si>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</si>
  <si>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</si>
  <si>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</si>
  <si>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</si>
  <si>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</si>
  <si>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</si>
  <si>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</si>
  <si>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</si>
  <si>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</si>
  <si>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</si>
  <si>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</si>
  <si>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</si>
  <si>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</si>
  <si>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</si>
  <si>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</si>
  <si>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</si>
  <si>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</si>
  <si>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</si>
  <si>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</si>
  <si>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</si>
  <si>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</si>
  <si>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</si>
  <si>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</si>
  <si>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</si>
  <si>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</si>
  <si>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</si>
  <si>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</si>
  <si>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</si>
  <si>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</si>
  <si>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</si>
  <si>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</si>
  <si>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</si>
  <si>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</si>
  <si>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</si>
  <si>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</si>
  <si>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</si>
  <si>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</si>
  <si>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</si>
  <si>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</si>
  <si>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</si>
  <si>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</si>
  <si>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</si>
  <si>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</si>
  <si>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</si>
  <si>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</si>
  <si>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</si>
  <si>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</si>
  <si>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</si>
  <si>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</si>
  <si>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</si>
  <si>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</si>
  <si>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</si>
  <si>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</si>
  <si>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</si>
  <si>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</si>
  <si>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</si>
  <si>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</si>
  <si>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</si>
  <si>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</si>
  <si>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</si>
  <si>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</si>
  <si>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</si>
  <si>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</si>
  <si>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</si>
  <si>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</si>
  <si>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</si>
  <si>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</si>
  <si>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</si>
  <si>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</si>
  <si>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</si>
  <si>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</si>
  <si>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</si>
  <si>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</si>
  <si>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</si>
  <si>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</si>
  <si>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</si>
  <si>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</si>
  <si>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</si>
  <si>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</si>
  <si>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</si>
  <si>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</si>
  <si>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</si>
  <si>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</si>
  <si>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</si>
  <si>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</si>
  <si>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</si>
  <si>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</si>
  <si>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</si>
  <si>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</si>
  <si>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</si>
  <si>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</si>
  <si>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</si>
  <si>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</si>
  <si>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</si>
  <si>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</si>
  <si>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</si>
  <si>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</si>
  <si>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</si>
  <si>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</si>
  <si>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</si>
  <si>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</si>
  <si>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</si>
  <si>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</si>
  <si>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</si>
  <si>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</si>
  <si>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</si>
  <si>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</si>
  <si>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</si>
  <si>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</si>
  <si>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</si>
  <si>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</si>
  <si>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</si>
  <si>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</si>
  <si>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</si>
  <si>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</si>
  <si>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</si>
  <si>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</si>
  <si>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</si>
  <si>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</si>
  <si>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</si>
  <si>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</si>
  <si>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</si>
  <si>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</si>
  <si>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</si>
  <si>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</si>
  <si>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</si>
  <si>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</si>
  <si>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</si>
  <si>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</si>
  <si>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</si>
  <si>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</si>
  <si>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</si>
  <si>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</si>
  <si>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</si>
  <si>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</si>
  <si>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</si>
  <si>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</si>
  <si>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</si>
  <si>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</si>
  <si>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</si>
  <si>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</si>
  <si>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</si>
  <si>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</si>
  <si>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</si>
  <si>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</si>
  <si>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</si>
  <si>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</si>
  <si>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</si>
  <si>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</si>
  <si>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</si>
  <si>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</si>
  <si>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</si>
  <si>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</si>
  <si>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</si>
  <si>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</si>
  <si>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</si>
  <si>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</si>
  <si>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</si>
  <si>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</si>
  <si>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</si>
  <si>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</si>
  <si>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</si>
  <si>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</si>
  <si>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</si>
  <si>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</si>
  <si>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</si>
  <si>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</si>
  <si>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</si>
  <si>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</si>
  <si>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</si>
  <si>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</si>
  <si>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</si>
  <si>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</si>
  <si>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</si>
  <si>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</si>
  <si>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</si>
  <si>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</si>
  <si>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</si>
  <si>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</si>
  <si>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</si>
  <si>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</si>
  <si>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</si>
  <si>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</si>
  <si>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</si>
  <si>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</si>
  <si>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</si>
  <si>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</si>
  <si>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</si>
  <si>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</si>
  <si>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</si>
  <si>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</si>
  <si>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</si>
  <si>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</si>
  <si>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</si>
  <si>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</si>
  <si>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</si>
  <si>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</si>
  <si>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</si>
  <si>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</si>
  <si>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</si>
  <si>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</si>
  <si>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</si>
  <si>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</si>
  <si>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</si>
  <si>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</si>
  <si>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</si>
  <si>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</si>
  <si>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</si>
  <si>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</si>
  <si>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</si>
  <si>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</si>
  <si>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</si>
  <si>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</si>
  <si>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</si>
  <si>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</si>
  <si>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</si>
  <si>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</si>
  <si>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</si>
  <si>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</si>
  <si>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</si>
  <si>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</si>
  <si>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</si>
  <si>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</si>
  <si>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</si>
  <si>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</si>
  <si>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</si>
  <si>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</si>
  <si>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</si>
  <si>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</si>
  <si>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</si>
  <si>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</si>
  <si>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</si>
  <si>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</si>
  <si>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</si>
  <si>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</si>
  <si>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</si>
  <si>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</si>
  <si>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</si>
  <si>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</si>
  <si>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</si>
  <si>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</si>
  <si>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</si>
  <si>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</si>
  <si>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</si>
  <si>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</si>
  <si>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</si>
  <si>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</si>
  <si>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</si>
  <si>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</si>
  <si>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</si>
  <si>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</si>
  <si>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</si>
  <si>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</si>
  <si>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</si>
  <si>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</si>
  <si>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</si>
  <si>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</si>
  <si>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</si>
  <si>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</si>
  <si>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</si>
  <si>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</si>
  <si>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</si>
  <si>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</si>
  <si>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</si>
  <si>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</si>
  <si>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</si>
  <si>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</si>
  <si>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</si>
  <si>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</si>
  <si>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</si>
  <si>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</si>
  <si>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</si>
  <si>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</si>
  <si>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</si>
  <si>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</si>
  <si>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</si>
  <si>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</si>
  <si>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</si>
  <si>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</si>
  <si>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</si>
  <si>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</si>
  <si>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</si>
  <si>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</si>
  <si>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</si>
  <si>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</si>
  <si>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</si>
  <si>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</si>
  <si>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</si>
  <si>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</si>
  <si>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</si>
  <si>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</si>
  <si>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</si>
  <si>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</si>
  <si>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</si>
  <si>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</si>
  <si>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</si>
  <si>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</si>
  <si>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</si>
  <si>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</si>
  <si>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</si>
  <si>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</si>
  <si>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</si>
  <si>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</si>
  <si>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</si>
  <si>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</si>
  <si>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</si>
  <si>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</si>
  <si>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</si>
  <si>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</si>
  <si>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</si>
  <si>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</si>
  <si>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</si>
  <si>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</si>
  <si>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</si>
  <si>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</si>
  <si>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</si>
  <si>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</si>
  <si>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</si>
  <si>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</si>
  <si>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</si>
  <si>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</si>
  <si>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</si>
  <si>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</si>
  <si>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</si>
  <si>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</si>
  <si>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</si>
  <si>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</si>
  <si>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</si>
  <si>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</si>
  <si>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</si>
  <si>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</si>
  <si>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</si>
  <si>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</si>
  <si>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</si>
  <si>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</si>
  <si>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</si>
  <si>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</si>
  <si>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</si>
  <si>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</si>
  <si>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</si>
  <si>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</si>
  <si>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</si>
  <si>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</si>
  <si>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</si>
  <si>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</si>
  <si>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</si>
  <si>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</si>
  <si>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</si>
  <si>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</si>
  <si>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</si>
  <si>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</si>
  <si>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</si>
  <si>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</si>
  <si>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</si>
  <si>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</si>
  <si>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</si>
  <si>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</si>
  <si>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</si>
  <si>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</si>
  <si>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</si>
  <si>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</si>
  <si>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</si>
  <si>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</si>
  <si>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</si>
  <si>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</si>
  <si>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</si>
  <si>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</si>
  <si>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</si>
  <si>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</si>
  <si>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</si>
  <si>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</si>
  <si>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</si>
  <si>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</si>
  <si>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</si>
  <si>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</si>
  <si>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</si>
  <si>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</si>
  <si>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</si>
  <si>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</si>
  <si>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</si>
  <si>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</si>
  <si>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</si>
  <si>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</si>
  <si>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</si>
  <si>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</si>
  <si>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</si>
  <si>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</si>
  <si>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</si>
  <si>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</si>
  <si>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</si>
  <si>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</si>
  <si>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</si>
  <si>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</si>
  <si>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</si>
  <si>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</si>
  <si>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</si>
  <si>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</si>
  <si>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</si>
  <si>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</si>
  <si>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</si>
  <si>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</si>
  <si>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</si>
  <si>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</si>
  <si>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</si>
  <si>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</si>
  <si>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</si>
  <si>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</si>
  <si>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</si>
  <si>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</si>
  <si>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</si>
  <si>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</si>
  <si>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</si>
  <si>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</si>
  <si>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</si>
  <si>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</si>
  <si>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</si>
  <si>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</si>
  <si>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</si>
  <si>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</si>
  <si>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</si>
  <si>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</si>
  <si>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</si>
  <si>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</si>
  <si>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</si>
  <si>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</si>
  <si>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</si>
  <si>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</si>
  <si>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</si>
  <si>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</si>
  <si>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</si>
  <si>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</si>
  <si>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</si>
  <si>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</si>
  <si>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</si>
  <si>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</si>
  <si>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</si>
  <si>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</si>
  <si>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</si>
  <si>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</si>
  <si>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</si>
  <si>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</si>
  <si>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</si>
  <si>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</si>
  <si>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</si>
  <si>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</si>
  <si>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</si>
  <si>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</si>
  <si>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</si>
  <si>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</si>
  <si>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</si>
  <si>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</si>
  <si>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</si>
  <si>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</si>
  <si>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</si>
  <si>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</si>
  <si>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</si>
  <si>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</si>
  <si>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</si>
  <si>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</si>
  <si>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</si>
  <si>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</si>
  <si>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</si>
  <si>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</si>
  <si>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</si>
  <si>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</si>
  <si>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</si>
  <si>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</si>
  <si>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</si>
  <si>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</si>
  <si>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</si>
  <si>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</si>
  <si>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</si>
  <si>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</si>
  <si>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</si>
  <si>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</si>
  <si>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</si>
  <si>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</si>
  <si>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</si>
  <si>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</si>
  <si>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</si>
  <si>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</si>
  <si>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</si>
  <si>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</si>
  <si>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</si>
  <si>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</si>
  <si>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</si>
  <si>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</si>
  <si>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</si>
  <si>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</si>
  <si>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</si>
  <si>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</si>
  <si>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</si>
  <si>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</si>
  <si>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</si>
  <si>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</si>
  <si>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</si>
  <si>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</si>
  <si>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</si>
  <si>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</si>
  <si>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</si>
  <si>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</si>
  <si>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</si>
  <si>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</si>
  <si>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</si>
  <si>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</si>
  <si>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</si>
  <si>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</si>
  <si>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</si>
  <si>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</si>
  <si>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</si>
  <si>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</si>
  <si>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</si>
  <si>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</si>
  <si>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</si>
  <si>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</si>
  <si>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</si>
  <si>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</si>
  <si>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</si>
  <si>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</si>
  <si>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</si>
  <si>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</si>
  <si>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</si>
  <si>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</si>
  <si>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</si>
  <si>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</si>
  <si>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</si>
  <si>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</si>
  <si>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</si>
  <si>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</si>
  <si>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</si>
  <si>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</si>
  <si>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</si>
  <si>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</si>
  <si>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</si>
  <si>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</si>
  <si>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</si>
  <si>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</si>
  <si>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</si>
  <si>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</si>
  <si>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</si>
  <si>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</si>
  <si>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</si>
  <si>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</si>
  <si>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</si>
  <si>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</si>
  <si>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</si>
  <si>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</si>
  <si>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</si>
  <si>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</si>
  <si>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</si>
  <si>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</si>
  <si>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</si>
  <si>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</si>
  <si>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</si>
  <si>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</si>
  <si>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</si>
  <si>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</si>
  <si>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</si>
  <si>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</si>
  <si>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</si>
  <si>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</si>
  <si>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</si>
  <si>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</si>
  <si>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</si>
  <si>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</si>
  <si>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</si>
  <si>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</si>
  <si>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</si>
  <si>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</si>
  <si>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</si>
  <si>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</si>
  <si>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</si>
  <si>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</si>
  <si>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</si>
  <si>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</si>
  <si>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</si>
  <si>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</si>
  <si>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</si>
  <si>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</si>
  <si>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</si>
  <si>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</si>
  <si>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</si>
  <si>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</si>
  <si>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</si>
  <si>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</si>
  <si>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</si>
  <si>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</si>
  <si>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</si>
  <si>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</si>
  <si>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</si>
  <si>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</si>
  <si>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</si>
  <si>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</si>
  <si>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</si>
  <si>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</si>
  <si>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</si>
  <si>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</si>
  <si>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</si>
  <si>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</si>
  <si>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</si>
  <si>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</si>
  <si>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</si>
  <si>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</si>
  <si>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</si>
  <si>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</si>
  <si>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</si>
  <si>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</si>
  <si>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</si>
  <si>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</si>
  <si>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</si>
  <si>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</si>
  <si>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</si>
  <si>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</si>
  <si>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</si>
  <si>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</si>
  <si>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</si>
  <si>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</si>
  <si>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</si>
  <si>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</si>
  <si>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</si>
  <si>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</si>
  <si>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</si>
  <si>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</si>
  <si>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</si>
  <si>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</si>
  <si>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</si>
  <si>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</si>
  <si>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</si>
  <si>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</si>
  <si>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</si>
  <si>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</si>
  <si>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</si>
  <si>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</si>
  <si>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</si>
  <si>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</si>
  <si>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</si>
  <si>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</si>
  <si>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</si>
  <si>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</si>
  <si>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</si>
  <si>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</si>
  <si>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</si>
  <si>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</si>
  <si>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</si>
  <si>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</si>
  <si>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</si>
  <si>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</si>
  <si>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</si>
  <si>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</si>
  <si>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</si>
  <si>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</si>
  <si>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</si>
  <si>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</si>
  <si>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</si>
  <si>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</si>
  <si>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</si>
  <si>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</si>
  <si>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</si>
  <si>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</si>
  <si>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</si>
  <si>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</si>
  <si>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</si>
  <si>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</si>
  <si>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</si>
  <si>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</si>
  <si>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</si>
  <si>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</si>
  <si>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</si>
  <si>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</si>
  <si>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</si>
  <si>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</si>
  <si>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</si>
  <si>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</si>
  <si>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</si>
  <si>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</si>
  <si>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</si>
  <si>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</si>
  <si>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</si>
  <si>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</si>
  <si>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</si>
  <si>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</si>
  <si>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</si>
  <si>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</si>
  <si>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</si>
  <si>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</si>
  <si>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</si>
  <si>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</si>
  <si>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</si>
  <si>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</si>
  <si>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</si>
  <si>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</si>
  <si>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</si>
  <si>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</si>
  <si>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</si>
  <si>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</si>
  <si>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</si>
  <si>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</si>
  <si>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</si>
  <si>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</si>
  <si>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</si>
  <si>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</si>
  <si>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</si>
  <si>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</si>
  <si>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</si>
  <si>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</si>
  <si>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</si>
  <si>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</si>
  <si>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</si>
  <si>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</si>
  <si>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</si>
  <si>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</si>
  <si>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</si>
  <si>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</si>
  <si>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</si>
  <si>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</si>
  <si>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</si>
  <si>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</si>
  <si>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</si>
  <si>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</si>
  <si>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</si>
  <si>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</si>
  <si>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</si>
  <si>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</si>
  <si>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</si>
  <si>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</si>
  <si>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</si>
  <si>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</si>
  <si>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</si>
  <si>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</si>
  <si>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</si>
  <si>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</si>
  <si>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</si>
  <si>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</si>
  <si>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</si>
  <si>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</si>
  <si>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</si>
  <si>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</si>
  <si>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</si>
  <si>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</si>
  <si>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</si>
  <si>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</si>
  <si>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</si>
  <si>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</si>
  <si>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</si>
  <si>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</si>
  <si>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</si>
  <si>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</si>
  <si>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</si>
  <si>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</si>
  <si>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</si>
  <si>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</si>
  <si>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</si>
  <si>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</si>
  <si>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</si>
  <si>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</si>
  <si>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</si>
  <si>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</si>
  <si>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</si>
  <si>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</si>
  <si>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</si>
  <si>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</si>
  <si>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</si>
  <si>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</si>
  <si>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</si>
  <si>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</si>
  <si>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</si>
  <si>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</si>
  <si>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</si>
  <si>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</si>
  <si>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</si>
  <si>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</si>
  <si>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</si>
  <si>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</si>
  <si>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</si>
  <si>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</si>
  <si>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</si>
  <si>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</si>
  <si>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</si>
  <si>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</si>
  <si>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</si>
  <si>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</si>
  <si>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</si>
  <si>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</si>
  <si>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</si>
  <si>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</si>
  <si>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</si>
  <si>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</si>
  <si>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</si>
  <si>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</si>
  <si>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</si>
  <si>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</si>
  <si>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</si>
  <si>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</si>
  <si>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</si>
  <si>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</si>
  <si>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</si>
  <si>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</si>
  <si>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</si>
  <si>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</si>
  <si>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</si>
  <si>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</si>
  <si>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</si>
  <si>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</si>
  <si>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</si>
  <si>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</si>
  <si>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</si>
  <si>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</si>
  <si>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</si>
  <si>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</si>
  <si>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</si>
  <si>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</si>
  <si>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</si>
  <si>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</si>
  <si>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</si>
  <si>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</si>
  <si>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</si>
  <si>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</si>
  <si>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</si>
  <si>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</si>
  <si>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</si>
  <si>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</si>
  <si>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</si>
  <si>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</si>
  <si>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</si>
  <si>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</si>
  <si>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</si>
  <si>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</si>
  <si>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</si>
  <si>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</si>
  <si>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</si>
  <si>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</si>
  <si>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</si>
  <si>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</si>
  <si>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</si>
  <si>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</si>
  <si>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</si>
  <si>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</si>
  <si>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</si>
  <si>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</si>
  <si>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</si>
  <si>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</si>
  <si>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</si>
  <si>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</si>
  <si>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</si>
  <si>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</si>
  <si>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</si>
  <si>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</si>
  <si>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</si>
  <si>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</si>
  <si>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</si>
  <si>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</si>
  <si>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</si>
  <si>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</si>
  <si>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</si>
  <si>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</si>
  <si>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</si>
  <si>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</si>
  <si>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</si>
  <si>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</si>
  <si>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</si>
  <si>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</si>
  <si>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</si>
  <si>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</si>
  <si>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</si>
  <si>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</si>
  <si>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</si>
  <si>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</si>
  <si>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</si>
  <si>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</si>
  <si>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</si>
  <si>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</si>
  <si>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</si>
  <si>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</si>
  <si>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</si>
  <si>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</si>
  <si>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</si>
  <si>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</si>
  <si>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</si>
  <si>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</si>
  <si>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</si>
  <si>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</si>
  <si>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</si>
  <si>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</si>
  <si>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</si>
  <si>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</si>
  <si>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</si>
  <si>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</si>
  <si>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</si>
  <si>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</si>
  <si>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</si>
  <si>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</si>
  <si>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</si>
  <si>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</si>
  <si>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</si>
  <si>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</si>
  <si>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</si>
  <si>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</si>
  <si>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</si>
  <si>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</si>
  <si>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</si>
  <si>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</si>
  <si>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</si>
  <si>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</si>
  <si>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</si>
  <si>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</si>
  <si>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</si>
  <si>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</si>
  <si>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</si>
  <si>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</si>
  <si>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</si>
  <si>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</si>
  <si>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</si>
  <si>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</si>
  <si>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</si>
  <si>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</si>
  <si>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</si>
  <si>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</si>
  <si>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</si>
  <si>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</si>
  <si>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</si>
  <si>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</si>
  <si>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</si>
  <si>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</si>
  <si>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</si>
  <si>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</si>
  <si>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</si>
  <si>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</si>
  <si>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</si>
  <si>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</si>
  <si>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</si>
  <si>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</si>
  <si>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</si>
  <si>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</si>
  <si>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</si>
  <si>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</si>
  <si>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</si>
  <si>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</si>
  <si>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</si>
  <si>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</si>
  <si>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</si>
  <si>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</si>
  <si>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</si>
  <si>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</si>
  <si>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</si>
  <si>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</si>
  <si>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</si>
  <si>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</si>
  <si>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</si>
  <si>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</si>
  <si>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</si>
  <si>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</si>
  <si>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</si>
  <si>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</si>
  <si>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</si>
  <si>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</si>
  <si>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</si>
  <si>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</si>
  <si>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</si>
  <si>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</si>
  <si>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</si>
  <si>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</si>
  <si>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</si>
  <si>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</si>
  <si>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</si>
  <si>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</si>
  <si>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</si>
  <si>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</si>
  <si>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</si>
  <si>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</si>
  <si>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</si>
  <si>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</si>
  <si>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</si>
  <si>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</si>
  <si>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</si>
  <si>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</si>
  <si>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</si>
  <si>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</si>
  <si>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</si>
  <si>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</si>
  <si>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</si>
  <si>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</si>
  <si>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</si>
  <si>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</si>
  <si>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</si>
  <si>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</si>
  <si>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</si>
  <si>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</si>
  <si>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</si>
  <si>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</si>
  <si>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</si>
  <si>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</si>
  <si>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</si>
  <si>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</si>
  <si>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</si>
  <si>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</si>
  <si>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</si>
  <si>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</si>
  <si>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</si>
  <si>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</si>
  <si>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</si>
  <si>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</si>
  <si>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</si>
  <si>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</si>
  <si>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</si>
  <si>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</si>
  <si>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</si>
  <si>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</si>
  <si>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</si>
  <si>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</si>
  <si>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</si>
  <si>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</si>
  <si>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</si>
  <si>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</si>
  <si>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</si>
  <si>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</si>
  <si>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</si>
  <si>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</si>
  <si>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</si>
  <si>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</si>
  <si>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</si>
  <si>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</si>
  <si>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</si>
  <si>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</si>
  <si>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</si>
  <si>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</si>
  <si>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</si>
  <si>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</si>
  <si>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</si>
  <si>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</si>
  <si>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</si>
  <si>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</si>
  <si>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</si>
  <si>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</si>
  <si>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</si>
  <si>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</si>
  <si>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</si>
  <si>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</si>
  <si>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</si>
  <si>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</si>
  <si>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</si>
  <si>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</si>
  <si>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</si>
  <si>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</si>
  <si>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</si>
  <si>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</si>
  <si>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</si>
  <si>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</si>
  <si>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</si>
  <si>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</si>
  <si>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</si>
  <si>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</si>
  <si>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</si>
  <si>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</si>
  <si>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</si>
  <si>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</si>
  <si>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</si>
  <si>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</si>
  <si>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</si>
  <si>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</si>
  <si>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</si>
  <si>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</si>
  <si>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</si>
  <si>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</si>
  <si>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</si>
  <si>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</si>
  <si>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</si>
  <si>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</si>
  <si>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</si>
  <si>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</si>
  <si>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</si>
  <si>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</si>
  <si>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</si>
  <si>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</si>
  <si>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</si>
  <si>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</si>
  <si>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</si>
  <si>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</si>
  <si>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</si>
  <si>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</si>
  <si>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</si>
  <si>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</si>
  <si>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</si>
  <si>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</si>
  <si>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</si>
  <si>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</si>
  <si>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</si>
  <si>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</si>
  <si>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</si>
  <si>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</si>
  <si>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</si>
  <si>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</si>
  <si>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</si>
  <si>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</si>
  <si>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</si>
  <si>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</si>
  <si>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</si>
  <si>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</si>
  <si>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</si>
  <si>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</si>
  <si>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</si>
  <si>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</si>
  <si>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</si>
  <si>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</si>
  <si>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</si>
  <si>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</si>
  <si>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</si>
  <si>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</si>
  <si>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</si>
  <si>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</si>
  <si>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</si>
  <si>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</si>
  <si>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</si>
  <si>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</si>
  <si>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</si>
  <si>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</si>
  <si>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</si>
  <si>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</si>
  <si>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</si>
  <si>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</si>
  <si>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</si>
  <si>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</si>
  <si>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</si>
  <si>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</si>
  <si>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</si>
  <si>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</si>
  <si>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</si>
  <si>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</si>
  <si>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</si>
  <si>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</si>
  <si>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</si>
  <si>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</si>
  <si>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</si>
  <si>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</si>
  <si>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</si>
  <si>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</si>
  <si>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</si>
  <si>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</si>
  <si>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</si>
  <si>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</si>
  <si>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</si>
  <si>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</si>
  <si>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</si>
  <si>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</si>
  <si>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</si>
  <si>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</si>
  <si>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</si>
  <si>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</si>
  <si>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</si>
  <si>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</si>
  <si>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</si>
  <si>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</si>
  <si>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</si>
  <si>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</si>
  <si>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</si>
  <si>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</si>
  <si>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</si>
  <si>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</si>
  <si>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</si>
  <si>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</si>
  <si>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</si>
  <si>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</si>
  <si>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</si>
  <si>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</si>
  <si>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</si>
  <si>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</si>
  <si>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</si>
  <si>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</si>
  <si>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</si>
  <si>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</si>
  <si>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</si>
  <si>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</si>
  <si>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</si>
  <si>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</si>
  <si>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</si>
  <si>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</si>
  <si>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</si>
  <si>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</si>
  <si>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</si>
  <si>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</si>
  <si>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</si>
  <si>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</si>
  <si>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</si>
  <si>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</si>
  <si>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</si>
  <si>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</si>
  <si>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</si>
  <si>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</si>
  <si>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</si>
  <si>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</si>
  <si>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</si>
  <si>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</si>
  <si>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</si>
  <si>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</si>
  <si>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</si>
  <si>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</si>
  <si>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</si>
  <si>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</si>
  <si>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</si>
  <si>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</si>
  <si>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</si>
  <si>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</si>
  <si>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</si>
  <si>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</si>
  <si>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</si>
  <si>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</si>
  <si>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</si>
  <si>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</si>
  <si>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</si>
  <si>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</si>
  <si>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</si>
  <si>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</si>
  <si>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</si>
  <si>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</si>
  <si>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</si>
  <si>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</si>
  <si>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</si>
  <si>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</si>
  <si>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</si>
  <si>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</si>
  <si>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</si>
  <si>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</si>
  <si>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</si>
  <si>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</si>
  <si>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</si>
  <si>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</si>
  <si>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</si>
  <si>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</si>
  <si>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</si>
  <si>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</si>
  <si>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</si>
  <si>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</si>
  <si>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</si>
  <si>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</si>
  <si>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</si>
  <si>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</si>
  <si>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</si>
  <si>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</si>
  <si>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</si>
  <si>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</si>
  <si>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</si>
  <si>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</si>
  <si>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</si>
  <si>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</si>
  <si>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</si>
  <si>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</si>
  <si>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</si>
  <si>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</si>
  <si>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</si>
  <si>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</si>
  <si>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</si>
  <si>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</si>
  <si>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</si>
  <si>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</si>
  <si>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</si>
  <si>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</si>
  <si>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</si>
  <si>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</si>
  <si>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</si>
  <si>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</si>
  <si>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</si>
  <si>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</si>
  <si>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</si>
  <si>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</si>
  <si>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</si>
  <si>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</si>
  <si>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</si>
  <si>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</si>
  <si>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</si>
  <si>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</si>
  <si>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</si>
  <si>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</si>
  <si>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</si>
  <si>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</si>
  <si>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</si>
  <si>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</si>
  <si>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</si>
  <si>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</si>
  <si>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</si>
  <si>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</si>
  <si>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</si>
  <si>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</si>
  <si>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</si>
  <si>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</si>
  <si>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</si>
  <si>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</si>
  <si>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</si>
  <si>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</si>
  <si>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</si>
  <si>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</si>
  <si>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</si>
  <si>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</si>
  <si>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</si>
  <si>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</si>
  <si>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</si>
  <si>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</si>
  <si>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</si>
  <si>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</si>
  <si>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</si>
  <si>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</si>
  <si>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</si>
  <si>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</si>
  <si>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</si>
  <si>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</si>
  <si>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</si>
  <si>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</si>
  <si>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</si>
  <si>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</si>
  <si>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</si>
  <si>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</si>
  <si>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</si>
  <si>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</si>
  <si>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</si>
  <si>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</si>
  <si>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</si>
  <si>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</si>
  <si>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</si>
  <si>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</si>
  <si>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</si>
  <si>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</si>
  <si>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</si>
  <si>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</si>
  <si>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</si>
  <si>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</si>
  <si>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</si>
  <si>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</si>
  <si>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</si>
  <si>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</si>
  <si>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</si>
  <si>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</si>
  <si>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</si>
  <si>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</si>
  <si>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</si>
  <si>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</si>
  <si>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</si>
  <si>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</si>
  <si>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</si>
  <si>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</si>
  <si>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</si>
  <si>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</si>
  <si>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</si>
  <si>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</si>
  <si>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</si>
  <si>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</si>
  <si>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</si>
  <si>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</si>
  <si>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</si>
  <si>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</si>
  <si>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</si>
  <si>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</si>
  <si>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</si>
  <si>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</si>
  <si>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</si>
  <si>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</si>
  <si>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</si>
  <si>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</si>
  <si>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</si>
  <si>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</si>
  <si>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</si>
  <si>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</si>
  <si>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</si>
  <si>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</si>
  <si>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</si>
  <si>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</si>
  <si>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</si>
  <si>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</si>
  <si>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</si>
  <si>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</si>
  <si>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</si>
  <si>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</si>
  <si>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</si>
  <si>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</si>
  <si>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</si>
  <si>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</si>
  <si>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</si>
  <si>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</si>
  <si>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</si>
  <si>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</si>
  <si>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</si>
  <si>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</si>
  <si>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</si>
  <si>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</si>
  <si>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</si>
  <si>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</si>
  <si>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</si>
  <si>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</si>
  <si>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</si>
  <si>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</si>
  <si>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</si>
  <si>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</si>
  <si>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</si>
  <si>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</si>
  <si>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</si>
  <si>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</si>
  <si>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</si>
  <si>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</si>
  <si>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</si>
  <si>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</si>
  <si>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</si>
  <si>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</si>
  <si>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</si>
  <si>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</si>
  <si>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</si>
  <si>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</si>
  <si>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</si>
  <si>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</si>
  <si>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</si>
  <si>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</si>
  <si>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</si>
  <si>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</si>
  <si>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</si>
  <si>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</si>
  <si>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</si>
  <si>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</si>
  <si>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</si>
  <si>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</si>
  <si>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</si>
  <si>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</si>
  <si>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</si>
  <si>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</si>
  <si>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</si>
  <si>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</si>
  <si>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</si>
  <si>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</si>
  <si>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</si>
  <si>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</si>
  <si>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</si>
  <si>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</si>
  <si>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</si>
  <si>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</si>
  <si>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</si>
  <si>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</si>
  <si>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</si>
  <si>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</si>
  <si>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</si>
  <si>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</si>
  <si>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</si>
  <si>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</si>
  <si>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</si>
  <si>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</si>
  <si>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</si>
  <si>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</si>
  <si>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</si>
  <si>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</si>
  <si>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</si>
  <si>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</si>
  <si>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</si>
  <si>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</si>
  <si>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</si>
  <si>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</si>
  <si>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</si>
  <si>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</si>
  <si>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</si>
  <si>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</si>
  <si>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</si>
  <si>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</si>
  <si>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</si>
  <si>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</si>
  <si>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</si>
  <si>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</si>
  <si>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</si>
  <si>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</si>
  <si>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</si>
  <si>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</si>
  <si>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</si>
  <si>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</si>
  <si>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</si>
  <si>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</si>
  <si>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</si>
  <si>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</si>
  <si>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</si>
  <si>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</si>
  <si>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</si>
  <si>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</si>
  <si>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</si>
  <si>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</si>
  <si>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</si>
  <si>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</si>
  <si>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</si>
  <si>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</si>
  <si>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</si>
  <si>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</si>
  <si>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</si>
  <si>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</si>
  <si>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</si>
  <si>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</si>
  <si>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</si>
  <si>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</si>
  <si>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</si>
  <si>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</si>
  <si>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</si>
  <si>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</si>
  <si>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</si>
  <si>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</si>
  <si>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</si>
  <si>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</si>
  <si>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</si>
  <si>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</si>
  <si>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</si>
  <si>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</si>
  <si>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</si>
  <si>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</si>
  <si>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</si>
  <si>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</si>
  <si>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</si>
  <si>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</si>
  <si>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</si>
  <si>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</si>
  <si>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</si>
  <si>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</si>
  <si>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</si>
  <si>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</si>
  <si>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</si>
  <si>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</si>
  <si>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</si>
  <si>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</si>
  <si>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</si>
  <si>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</si>
  <si>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</si>
  <si>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</si>
  <si>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</si>
  <si>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</si>
  <si>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</si>
  <si>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</si>
  <si>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</si>
  <si>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</si>
  <si>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</si>
  <si>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</si>
  <si>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</si>
  <si>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</si>
  <si>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</si>
  <si>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</si>
  <si>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</si>
  <si>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</si>
  <si>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</si>
  <si>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</si>
  <si>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</si>
  <si>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</si>
  <si>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</si>
  <si>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</si>
  <si>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</si>
  <si>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</si>
  <si>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</si>
  <si>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</si>
  <si>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</si>
  <si>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</si>
  <si>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</si>
  <si>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</si>
  <si>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</si>
  <si>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</si>
  <si>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</si>
  <si>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</si>
  <si>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</si>
  <si>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</si>
  <si>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</si>
  <si>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</si>
  <si>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</si>
  <si>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</si>
  <si>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</si>
  <si>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</si>
  <si>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</si>
  <si>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</si>
  <si>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</si>
  <si>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</si>
  <si>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</si>
  <si>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</si>
  <si>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</si>
  <si>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</si>
  <si>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</si>
  <si>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</si>
  <si>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</si>
  <si>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</si>
  <si>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</si>
  <si>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</si>
  <si>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</si>
  <si>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</si>
  <si>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</si>
  <si>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</si>
  <si>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</si>
  <si>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</si>
  <si>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</si>
  <si>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</si>
  <si>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</si>
  <si>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</si>
  <si>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</si>
  <si>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</si>
  <si>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</si>
  <si>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</si>
  <si>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</si>
  <si>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</si>
  <si>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</si>
  <si>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</si>
  <si>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</si>
  <si>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</si>
  <si>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</si>
  <si>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</si>
  <si>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</si>
  <si>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</si>
  <si>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</si>
  <si>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</si>
  <si>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</si>
  <si>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</si>
  <si>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</si>
  <si>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</si>
  <si>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</si>
  <si>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</si>
  <si>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</si>
  <si>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</si>
  <si>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</si>
  <si>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</si>
  <si>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</si>
  <si>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</si>
  <si>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</si>
  <si>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</si>
  <si>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</si>
  <si>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</si>
  <si>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</si>
  <si>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</si>
  <si>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</si>
  <si>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</si>
  <si>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</si>
  <si>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</si>
  <si>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</si>
  <si>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</si>
  <si>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</si>
  <si>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</si>
  <si>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</si>
  <si>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</si>
  <si>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</si>
  <si>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</si>
  <si>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</si>
  <si>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</si>
  <si>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</si>
  <si>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</si>
  <si>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</si>
  <si>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</si>
  <si>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</si>
  <si>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</si>
  <si>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</si>
  <si>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</si>
  <si>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</si>
  <si>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</si>
  <si>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</si>
  <si>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</si>
  <si>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</si>
  <si>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</si>
  <si>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</si>
  <si>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</si>
  <si>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</si>
  <si>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</si>
  <si>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</si>
  <si>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</si>
  <si>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</si>
  <si>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</si>
  <si>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</si>
  <si>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</si>
  <si>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</si>
  <si>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</si>
  <si>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</si>
  <si>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</si>
  <si>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</si>
  <si>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</si>
  <si>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</si>
  <si>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</si>
  <si>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</si>
  <si>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</si>
  <si>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</si>
  <si>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</si>
  <si>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</si>
  <si>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</si>
  <si>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</si>
  <si>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</si>
  <si>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</si>
  <si>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</si>
  <si>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</si>
  <si>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</si>
  <si>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</si>
  <si>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</si>
  <si>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</si>
  <si>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</si>
  <si>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</si>
  <si>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</si>
  <si>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</si>
  <si>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</si>
  <si>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</si>
  <si>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</si>
  <si>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</si>
  <si>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</si>
  <si>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</si>
  <si>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</si>
  <si>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</si>
  <si>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</si>
  <si>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</si>
  <si>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</si>
  <si>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</si>
  <si>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</si>
  <si>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</si>
  <si>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</si>
  <si>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</si>
  <si>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</si>
  <si>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</si>
  <si>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</si>
  <si>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</si>
  <si>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</si>
  <si>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</si>
  <si>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</si>
  <si>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</si>
  <si>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</si>
  <si>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</si>
  <si>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</si>
  <si>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</si>
  <si>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</si>
  <si>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</si>
  <si>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</si>
  <si>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</si>
  <si>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</si>
  <si>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</si>
  <si>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</si>
  <si>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</si>
  <si>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</si>
  <si>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</si>
  <si>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</si>
  <si>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</si>
  <si>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</si>
  <si>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</si>
  <si>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</si>
  <si>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</si>
  <si>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</si>
  <si>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</si>
  <si>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</si>
  <si>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</si>
  <si>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</si>
  <si>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</si>
  <si>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</si>
  <si>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</si>
  <si>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</si>
  <si>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</si>
  <si>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</si>
  <si>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</si>
  <si>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</si>
  <si>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</si>
  <si>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</si>
  <si>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</si>
  <si>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</si>
  <si>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</si>
  <si>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</si>
  <si>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</si>
  <si>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</si>
  <si>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</si>
  <si>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</si>
  <si>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</si>
  <si>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</si>
  <si>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</si>
  <si>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</si>
  <si>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</si>
  <si>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</si>
  <si>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</si>
  <si>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</si>
  <si>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</si>
  <si>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</si>
  <si>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</si>
  <si>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</si>
  <si>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</si>
  <si>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</si>
  <si>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</si>
  <si>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</si>
  <si>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</si>
  <si>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</si>
  <si>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</si>
  <si>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</si>
  <si>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</si>
  <si>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</si>
  <si>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</si>
  <si>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</si>
  <si>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</si>
  <si>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</si>
  <si>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</si>
  <si>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</si>
  <si>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</si>
  <si>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</si>
  <si>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</si>
  <si>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</si>
  <si>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</si>
  <si>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</si>
  <si>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</si>
  <si>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</si>
  <si>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</si>
  <si>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</si>
  <si>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</si>
  <si>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</si>
  <si>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</si>
  <si>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</si>
  <si>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</si>
  <si>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</si>
  <si>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</si>
  <si>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</si>
  <si>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</si>
  <si>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</si>
  <si>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</si>
  <si>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</si>
  <si>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</si>
  <si>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</si>
  <si>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</si>
  <si>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</si>
  <si>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</si>
  <si>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</si>
  <si>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</si>
  <si>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</si>
  <si>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</si>
  <si>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</si>
  <si>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</si>
  <si>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</si>
  <si>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</si>
  <si>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</si>
  <si>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</si>
  <si>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</si>
  <si>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</si>
  <si>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</si>
  <si>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</si>
  <si>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</si>
  <si>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</si>
  <si>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</si>
  <si>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</si>
  <si>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</si>
  <si>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</si>
  <si>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</si>
  <si>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</si>
  <si>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</si>
  <si>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</si>
  <si>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</si>
  <si>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</si>
  <si>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</si>
  <si>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</si>
  <si>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</si>
  <si>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</si>
  <si>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</si>
  <si>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</si>
  <si>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</si>
  <si>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</si>
  <si>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</si>
  <si>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</si>
  <si>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</si>
  <si>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</si>
  <si>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</si>
  <si>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</si>
  <si>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</si>
  <si>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</si>
  <si>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</si>
  <si>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</si>
  <si>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</si>
  <si>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</si>
  <si>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</si>
  <si>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</si>
  <si>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</si>
  <si>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</si>
  <si>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</si>
  <si>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</si>
  <si>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</si>
  <si>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</si>
  <si>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</si>
  <si>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</si>
  <si>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</si>
  <si>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</si>
  <si>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</si>
  <si>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</si>
  <si>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</si>
  <si>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</si>
  <si>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</si>
  <si>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</si>
  <si>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</si>
  <si>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</si>
  <si>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</si>
  <si>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</si>
  <si>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</si>
  <si>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</si>
  <si>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</si>
  <si>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</si>
  <si>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</si>
  <si>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</si>
  <si>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</si>
  <si>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</si>
  <si>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</si>
  <si>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</si>
  <si>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</si>
  <si>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</si>
  <si>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</si>
  <si>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</si>
  <si>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</si>
  <si>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</si>
  <si>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</si>
  <si>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</si>
  <si>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</si>
  <si>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</si>
  <si>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</si>
  <si>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</si>
  <si>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</si>
  <si>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</si>
  <si>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</si>
  <si>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</si>
  <si>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</si>
  <si>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</si>
  <si>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</si>
  <si>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</si>
  <si>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</si>
  <si>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</si>
  <si>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</si>
  <si>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</si>
  <si>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</si>
  <si>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</si>
  <si>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</si>
  <si>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</si>
  <si>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</si>
  <si>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</si>
  <si>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</si>
  <si>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</si>
  <si>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</si>
  <si>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</si>
  <si>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</si>
  <si>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</si>
  <si>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</si>
  <si>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</si>
  <si>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</si>
  <si>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</si>
  <si>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</si>
  <si>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</si>
  <si>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</si>
  <si>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</si>
  <si>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</si>
  <si>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</si>
  <si>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</si>
  <si>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</si>
  <si>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</si>
  <si>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</si>
  <si>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</si>
  <si>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</si>
  <si>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</si>
  <si>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</si>
  <si>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</si>
  <si>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</si>
  <si>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</si>
  <si>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</si>
  <si>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</si>
  <si>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</si>
  <si>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</si>
  <si>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</si>
  <si>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</si>
  <si>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</si>
  <si>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</si>
  <si>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</si>
  <si>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</si>
  <si>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</si>
  <si>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</si>
  <si>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</si>
  <si>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</si>
  <si>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</si>
  <si>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</si>
  <si>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</si>
  <si>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</si>
  <si>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</si>
  <si>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</si>
  <si>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</si>
  <si>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</si>
  <si>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</si>
  <si>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</si>
  <si>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</si>
  <si>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</si>
  <si>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</si>
  <si>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</si>
  <si>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</si>
  <si>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</si>
  <si>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</si>
  <si>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</si>
  <si>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</si>
  <si>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</si>
  <si>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</si>
  <si>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</si>
  <si>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</si>
  <si>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</si>
  <si>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</si>
  <si>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</si>
  <si>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</si>
  <si>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</si>
  <si>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</si>
  <si>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</si>
  <si>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</si>
  <si>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</si>
  <si>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</si>
  <si>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</si>
  <si>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</si>
  <si>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</si>
  <si>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</si>
  <si>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</si>
  <si>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</si>
  <si>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</si>
  <si>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</si>
  <si>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</si>
  <si>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</si>
  <si>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</si>
  <si>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</si>
  <si>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</si>
  <si>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</si>
  <si>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</si>
  <si>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</si>
  <si>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</si>
  <si>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</si>
  <si>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</si>
  <si>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</si>
  <si>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</si>
  <si>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</si>
  <si>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</si>
  <si>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</si>
  <si>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</si>
  <si>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</si>
  <si>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</si>
  <si>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</si>
  <si>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</si>
  <si>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</si>
  <si>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</si>
  <si>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</si>
  <si>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</si>
  <si>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</si>
  <si>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</si>
  <si>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</si>
  <si>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</si>
  <si>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</si>
  <si>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</si>
  <si>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</si>
  <si>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</si>
  <si>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</si>
  <si>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</si>
  <si>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</si>
  <si>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</si>
  <si>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</si>
  <si>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</si>
  <si>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</si>
  <si>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</si>
  <si>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</si>
  <si>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</si>
  <si>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</si>
  <si>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</si>
  <si>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</si>
  <si>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</si>
  <si>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</si>
  <si>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</si>
  <si>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</si>
  <si>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</si>
  <si>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</si>
  <si>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</si>
  <si>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</si>
  <si>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</si>
  <si>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</si>
  <si>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</si>
  <si>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</si>
  <si>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</si>
  <si>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</si>
  <si>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</si>
  <si>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</si>
  <si>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</si>
  <si>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</si>
  <si>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</si>
  <si>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</si>
  <si>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</si>
  <si>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</si>
  <si>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</si>
  <si>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</si>
  <si>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</si>
  <si>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</si>
  <si>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</si>
  <si>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</si>
  <si>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</si>
  <si>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</si>
  <si>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</si>
  <si>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</si>
  <si>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</si>
  <si>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</si>
  <si>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</si>
  <si>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</si>
  <si>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</si>
  <si>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</si>
  <si>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</si>
  <si>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</si>
  <si>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</si>
  <si>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</si>
  <si>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</si>
  <si>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</si>
  <si>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</si>
  <si>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</si>
  <si>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</si>
  <si>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</si>
  <si>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</si>
  <si>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</si>
  <si>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</si>
  <si>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</si>
  <si>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</si>
  <si>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</si>
  <si>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</si>
  <si>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</si>
  <si>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</si>
  <si>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</si>
  <si>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</si>
  <si>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</si>
  <si>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</si>
  <si>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</si>
  <si>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</si>
  <si>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</si>
  <si>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</si>
  <si>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</si>
  <si>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</si>
  <si>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</si>
  <si>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</si>
  <si>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</si>
  <si>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</si>
  <si>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</si>
  <si>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</si>
  <si>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</si>
  <si>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</si>
  <si>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</si>
  <si>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</si>
  <si>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</si>
  <si>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</si>
  <si>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</si>
  <si>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</si>
  <si>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</si>
  <si>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</si>
  <si>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</si>
  <si>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</si>
  <si>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</si>
  <si>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</si>
  <si>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</si>
  <si>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</si>
  <si>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</si>
  <si>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</si>
  <si>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</si>
  <si>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</si>
  <si>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</si>
  <si>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</si>
  <si>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</si>
  <si>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</si>
  <si>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</si>
  <si>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</si>
  <si>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</si>
  <si>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</si>
  <si>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</si>
  <si>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</si>
  <si>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</si>
  <si>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</si>
  <si>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</si>
  <si>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</si>
  <si>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</si>
  <si>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</si>
  <si>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</si>
  <si>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</si>
  <si>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</si>
  <si>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</si>
  <si>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</si>
  <si>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</si>
  <si>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</si>
  <si>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</si>
  <si>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</si>
  <si>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</si>
  <si>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</si>
  <si>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</si>
  <si>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</si>
  <si>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</si>
  <si>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</si>
  <si>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</si>
  <si>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</si>
  <si>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</si>
  <si>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</si>
  <si>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</si>
  <si>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</si>
  <si>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</si>
  <si>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</si>
  <si>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</si>
  <si>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</si>
  <si>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</si>
  <si>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</si>
  <si>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</si>
  <si>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</si>
  <si>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</si>
  <si>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</si>
  <si>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</si>
  <si>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</si>
  <si>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</si>
  <si>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</si>
  <si>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</si>
  <si>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</si>
  <si>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</si>
  <si>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</si>
  <si>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</si>
  <si>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</si>
  <si>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</si>
  <si>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</si>
  <si>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</si>
  <si>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</si>
  <si>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</si>
  <si>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</si>
  <si>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</si>
  <si>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</si>
  <si>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</si>
  <si>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</si>
  <si>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</si>
  <si>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</si>
  <si>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</si>
  <si>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</si>
  <si>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</si>
  <si>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</si>
  <si>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</si>
  <si>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</si>
  <si>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</si>
  <si>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</si>
  <si>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</si>
  <si>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</si>
  <si>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</si>
  <si>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</si>
  <si>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</si>
  <si>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</si>
  <si>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</si>
  <si>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</si>
  <si>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</si>
  <si>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</si>
  <si>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</si>
  <si>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</si>
  <si>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</si>
  <si>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</si>
  <si>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</si>
  <si>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</si>
  <si>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</si>
  <si>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</si>
  <si>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</si>
  <si>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</si>
  <si>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</si>
  <si>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</si>
  <si>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</si>
  <si>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</si>
  <si>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</si>
  <si>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</si>
  <si>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</si>
  <si>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</si>
  <si>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</si>
  <si>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</si>
  <si>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</si>
  <si>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</si>
  <si>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</si>
  <si>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</si>
  <si>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</si>
  <si>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</si>
  <si>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</si>
  <si>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</si>
  <si>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</si>
  <si>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</si>
  <si>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</si>
  <si>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</si>
  <si>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</si>
  <si>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</si>
  <si>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</si>
  <si>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</si>
  <si>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</si>
  <si>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</si>
  <si>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</si>
  <si>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</si>
  <si>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</si>
  <si>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</si>
  <si>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</si>
  <si>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</si>
  <si>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</si>
  <si>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</si>
  <si>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</si>
  <si>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</si>
  <si>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</si>
  <si>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</si>
  <si>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</si>
  <si>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</si>
  <si>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</si>
  <si>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</si>
  <si>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</si>
  <si>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</si>
  <si>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</si>
  <si>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</si>
  <si>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</si>
  <si>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</si>
  <si>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</si>
  <si>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</si>
  <si>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</si>
  <si>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</si>
  <si>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</si>
  <si>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</si>
  <si>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</si>
  <si>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</si>
  <si>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</si>
  <si>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</si>
  <si>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</si>
  <si>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</si>
  <si>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</si>
  <si>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</si>
  <si>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</si>
  <si>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</si>
  <si>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</si>
  <si>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</si>
  <si>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</si>
  <si>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</si>
  <si>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</si>
  <si>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</si>
  <si>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</si>
  <si>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</si>
  <si>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</si>
  <si>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</si>
  <si>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</si>
  <si>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</si>
  <si>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</si>
  <si>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</si>
  <si>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</si>
  <si>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</si>
  <si>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</si>
  <si>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</si>
  <si>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</si>
  <si>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</si>
  <si>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</si>
  <si>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</si>
  <si>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</si>
  <si>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</si>
  <si>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</si>
  <si>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</si>
  <si>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</si>
  <si>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</si>
  <si>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</si>
  <si>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</si>
  <si>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</si>
  <si>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</si>
  <si>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</si>
  <si>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</si>
  <si>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</si>
  <si>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</si>
  <si>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</si>
  <si>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</si>
  <si>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</si>
  <si>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</si>
  <si>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</si>
  <si>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</si>
  <si>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</si>
  <si>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</si>
  <si>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</si>
  <si>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</si>
  <si>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</si>
  <si>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</si>
  <si>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</si>
  <si>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</si>
  <si>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</si>
  <si>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</si>
  <si>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</si>
  <si>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</si>
  <si>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</si>
  <si>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</si>
  <si>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</si>
  <si>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</si>
  <si>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</si>
  <si>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</si>
  <si>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</si>
  <si>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</si>
  <si>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</si>
  <si>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</si>
  <si>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</si>
  <si>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</si>
  <si>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</si>
  <si>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</si>
  <si>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</si>
  <si>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</si>
  <si>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</si>
  <si>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</si>
  <si>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</si>
  <si>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</si>
  <si>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</si>
  <si>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</si>
  <si>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</si>
  <si>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</si>
  <si>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</si>
  <si>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</si>
  <si>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</si>
  <si>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</si>
  <si>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</si>
  <si>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</si>
  <si>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</si>
  <si>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</si>
  <si>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</si>
  <si>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</si>
  <si>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</si>
  <si>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</si>
  <si>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</si>
  <si>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</si>
  <si>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</si>
  <si>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</si>
  <si>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</si>
  <si>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</si>
  <si>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</si>
  <si>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</si>
  <si>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</si>
  <si>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</si>
  <si>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</si>
  <si>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</si>
  <si>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</si>
  <si>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</si>
  <si>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</si>
  <si>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</si>
  <si>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</si>
  <si>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</si>
  <si>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</si>
  <si>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</si>
  <si>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</si>
  <si>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</si>
  <si>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</si>
  <si>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</si>
  <si>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</si>
  <si>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</si>
  <si>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</si>
  <si>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</si>
  <si>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</si>
  <si>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</si>
  <si>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</si>
  <si>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</si>
  <si>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</si>
  <si>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</si>
  <si>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</si>
  <si>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</si>
  <si>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</si>
  <si>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</si>
  <si>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</si>
  <si>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</si>
  <si>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</si>
  <si>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</si>
  <si>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</si>
  <si>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</si>
  <si>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</si>
  <si>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</si>
  <si>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</si>
  <si>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</si>
  <si>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</si>
  <si>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</si>
  <si>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</si>
  <si>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</si>
  <si>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</si>
  <si>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</si>
  <si>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</si>
  <si>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</si>
  <si>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</si>
  <si>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</si>
  <si>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</si>
  <si>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</si>
  <si>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</si>
  <si>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</si>
  <si>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</si>
  <si>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</si>
  <si>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</si>
  <si>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</si>
  <si>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</si>
  <si>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</si>
  <si>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</si>
  <si>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</si>
  <si>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</si>
  <si>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</si>
  <si>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</si>
  <si>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</si>
  <si>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</si>
  <si>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</si>
  <si>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</si>
  <si>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</si>
  <si>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</si>
  <si>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</si>
  <si>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</si>
  <si>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</si>
  <si>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</si>
  <si>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</si>
  <si>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</si>
  <si>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</si>
  <si>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</si>
  <si>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</si>
  <si>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</si>
  <si>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</si>
  <si>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</si>
  <si>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</si>
  <si>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</si>
  <si>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</si>
  <si>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</si>
  <si>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</si>
  <si>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</si>
  <si>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</si>
  <si>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</si>
  <si>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</si>
  <si>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</si>
  <si>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</si>
  <si>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</si>
  <si>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</si>
  <si>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</si>
  <si>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</si>
  <si>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</si>
  <si>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</si>
  <si>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</si>
  <si>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</si>
  <si>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</si>
  <si>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</si>
  <si>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</si>
  <si>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</si>
  <si>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</si>
  <si>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</si>
  <si>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</si>
  <si>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</si>
  <si>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</si>
  <si>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</si>
  <si>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</si>
  <si>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</si>
  <si>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</si>
  <si>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</si>
  <si>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</si>
  <si>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</si>
  <si>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</si>
  <si>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</si>
  <si>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</si>
  <si>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</si>
  <si>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</si>
  <si>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</si>
  <si>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</si>
  <si>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</si>
  <si>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</si>
  <si>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</si>
  <si>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</si>
  <si>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</si>
  <si>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</si>
  <si>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</si>
  <si>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</si>
  <si>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</si>
  <si>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</si>
  <si>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</si>
  <si>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</si>
  <si>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</si>
  <si>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</si>
  <si>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</si>
  <si>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</si>
  <si>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</si>
  <si>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</si>
  <si>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</si>
  <si>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</si>
  <si>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</si>
  <si>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</si>
  <si>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</si>
  <si>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</si>
  <si>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</si>
  <si>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</si>
  <si>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</si>
  <si>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</si>
  <si>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</si>
  <si>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</si>
  <si>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</si>
  <si>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</si>
  <si>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</si>
  <si>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</si>
  <si>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</si>
  <si>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</si>
  <si>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</si>
  <si>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</si>
  <si>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</si>
  <si>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</si>
  <si>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</si>
  <si>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</si>
  <si>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</si>
  <si>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</si>
  <si>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</si>
  <si>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</si>
  <si>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</si>
  <si>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</si>
  <si>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</si>
  <si>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</si>
  <si>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</si>
  <si>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</si>
  <si>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</si>
  <si>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</si>
  <si>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</si>
  <si>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</si>
  <si>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</si>
  <si>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</si>
  <si>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</si>
  <si>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</si>
  <si>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</si>
  <si>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</si>
  <si>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</si>
  <si>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</si>
  <si>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</si>
  <si>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</si>
  <si>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</si>
  <si>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</si>
  <si>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</si>
  <si>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</si>
  <si>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</si>
  <si>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</si>
  <si>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</si>
  <si>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</si>
  <si>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</si>
  <si>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</si>
  <si>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</si>
  <si>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</si>
  <si>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</si>
  <si>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</si>
  <si>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</si>
  <si>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</si>
  <si>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</si>
  <si>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</si>
  <si>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</si>
  <si>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</si>
  <si>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</si>
  <si>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</si>
  <si>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</si>
  <si>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</si>
  <si>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</si>
  <si>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</si>
  <si>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</si>
  <si>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</si>
  <si>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</si>
  <si>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</si>
  <si>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</si>
  <si>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</si>
  <si>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</si>
  <si>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</si>
  <si>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</si>
  <si>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</si>
  <si>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</si>
  <si>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</si>
  <si>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</si>
  <si>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</si>
  <si>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</si>
  <si>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</si>
  <si>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</si>
  <si>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</si>
  <si>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</si>
  <si>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</si>
  <si>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</si>
  <si>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</si>
  <si>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</si>
  <si>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</si>
  <si>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</si>
  <si>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</si>
  <si>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</si>
  <si>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</si>
  <si>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</si>
  <si>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</si>
  <si>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</si>
  <si>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</si>
  <si>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</si>
  <si>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</si>
  <si>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</si>
  <si>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</si>
  <si>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</si>
  <si>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</si>
  <si>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</si>
  <si>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</si>
  <si>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</si>
  <si>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</si>
  <si>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</si>
  <si>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</si>
  <si>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</si>
  <si>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</si>
  <si>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</si>
  <si>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</si>
  <si>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</si>
  <si>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</si>
  <si>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</si>
  <si>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</si>
  <si>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</si>
  <si>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</si>
  <si>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</si>
  <si>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</si>
  <si>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</si>
  <si>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</si>
  <si>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</si>
  <si>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</si>
  <si>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</si>
  <si>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</si>
  <si>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</si>
  <si>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</si>
  <si>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</si>
  <si>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</si>
  <si>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</si>
  <si>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</si>
  <si>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</si>
  <si>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</si>
  <si>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</si>
  <si>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</si>
  <si>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</si>
  <si>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</si>
  <si>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</si>
  <si>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</si>
  <si>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</si>
  <si>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</si>
  <si>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</si>
  <si>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</si>
  <si>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</si>
  <si>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</si>
  <si>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</si>
  <si>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</si>
  <si>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</si>
  <si>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</si>
  <si>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</si>
  <si>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</si>
  <si>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</si>
  <si>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</si>
  <si>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</si>
  <si>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</si>
  <si>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</si>
  <si>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</si>
  <si>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</si>
  <si>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</si>
  <si>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</si>
  <si>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</si>
  <si>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</si>
  <si>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</si>
  <si>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</si>
  <si>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</si>
  <si>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</si>
  <si>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</si>
  <si>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</si>
  <si>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</si>
  <si>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</si>
  <si>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</si>
  <si>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</si>
  <si>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</si>
  <si>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</si>
  <si>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</si>
  <si>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</si>
  <si>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</si>
  <si>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</si>
  <si>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</si>
  <si>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</si>
  <si>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</si>
  <si>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</si>
  <si>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</si>
  <si>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</si>
  <si>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</si>
  <si>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</si>
  <si>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</si>
  <si>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</si>
  <si>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</si>
  <si>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</si>
  <si>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</si>
  <si>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</si>
  <si>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</si>
  <si>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</si>
  <si>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</si>
  <si>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</si>
  <si>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</si>
  <si>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</si>
  <si>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</si>
  <si>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</si>
  <si>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</si>
  <si>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</si>
  <si>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</si>
  <si>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</si>
  <si>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</si>
  <si>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</si>
  <si>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</si>
  <si>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</si>
  <si>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</si>
  <si>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</si>
  <si>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</si>
  <si>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</si>
  <si>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</si>
  <si>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</si>
  <si>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</si>
  <si>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</si>
  <si>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</si>
  <si>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</si>
  <si>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</si>
  <si>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</si>
  <si>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</si>
  <si>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</si>
  <si>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</si>
  <si>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</si>
  <si>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</si>
  <si>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</si>
  <si>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</si>
  <si>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</si>
  <si>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</si>
  <si>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</si>
  <si>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</si>
  <si>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</si>
  <si>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</si>
  <si>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</si>
  <si>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</si>
  <si>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</si>
  <si>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</si>
  <si>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</si>
  <si>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</si>
  <si>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</si>
  <si>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</si>
  <si>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</si>
  <si>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</si>
  <si>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</si>
  <si>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</si>
  <si>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</si>
  <si>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</si>
  <si>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</si>
  <si>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</si>
  <si>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</si>
  <si>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</si>
  <si>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</si>
  <si>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</si>
  <si>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</si>
  <si>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</si>
  <si>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</si>
  <si>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</si>
  <si>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</si>
  <si>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</si>
  <si>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</si>
  <si>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</si>
  <si>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</si>
  <si>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</si>
  <si>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</si>
  <si>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</si>
  <si>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</si>
  <si>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</si>
  <si>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</si>
  <si>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</si>
  <si>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</si>
  <si>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</si>
  <si>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</si>
  <si>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</si>
  <si>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</si>
  <si>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</si>
  <si>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</si>
  <si>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</si>
  <si>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</si>
  <si>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</si>
  <si>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</si>
  <si>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</si>
  <si>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</si>
  <si>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</si>
  <si>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</si>
  <si>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</si>
  <si>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</si>
  <si>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</si>
  <si>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</si>
  <si>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</si>
  <si>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</si>
  <si>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</si>
  <si>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</si>
  <si>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</si>
  <si>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</si>
  <si>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</si>
  <si>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</si>
  <si>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</si>
  <si>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</si>
  <si>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</si>
  <si>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</si>
  <si>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</si>
  <si>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</si>
  <si>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</si>
  <si>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</si>
  <si>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</si>
  <si>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</si>
  <si>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</si>
  <si>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</si>
  <si>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</si>
  <si>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</si>
  <si>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</si>
  <si>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</si>
  <si>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</si>
  <si>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</si>
  <si>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</si>
  <si>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</si>
  <si>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</si>
  <si>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</si>
  <si>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</si>
  <si>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</si>
  <si>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</si>
  <si>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</si>
  <si>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</si>
  <si>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</si>
  <si>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</si>
  <si>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</si>
  <si>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</si>
  <si>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</si>
  <si>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</si>
  <si>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</si>
  <si>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</si>
  <si>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</si>
  <si>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</si>
  <si>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</si>
  <si>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</si>
  <si>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</si>
  <si>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</si>
  <si>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</si>
  <si>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</si>
  <si>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</si>
  <si>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</si>
  <si>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</si>
  <si>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</si>
  <si>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</si>
  <si>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</si>
  <si>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</si>
  <si>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</si>
  <si>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</si>
  <si>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</si>
  <si>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</si>
  <si>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</si>
  <si>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</si>
  <si>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</si>
  <si>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</si>
  <si>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</si>
  <si>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</si>
  <si>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</si>
  <si>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</si>
  <si>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</si>
  <si>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</si>
  <si>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</si>
  <si>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</si>
  <si>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</si>
  <si>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</si>
  <si>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</si>
  <si>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</si>
  <si>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</si>
  <si>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</si>
  <si>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</si>
  <si>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</si>
  <si>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</si>
  <si>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</si>
  <si>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</si>
  <si>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</si>
  <si>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</si>
  <si>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</si>
  <si>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</si>
  <si>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</si>
  <si>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</si>
  <si>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</si>
  <si>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</si>
  <si>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</si>
  <si>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</si>
  <si>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</si>
  <si>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</si>
  <si>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</si>
  <si>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</si>
  <si>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</si>
  <si>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</si>
  <si>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</si>
  <si>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</si>
  <si>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</si>
  <si>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</si>
  <si>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</si>
  <si>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</si>
  <si>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</si>
  <si>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</si>
  <si>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</si>
  <si>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</si>
  <si>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</si>
  <si>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</si>
  <si>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</si>
  <si>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</si>
  <si>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</si>
  <si>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</si>
  <si>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</si>
  <si>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</si>
  <si>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</si>
  <si>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</si>
  <si>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</si>
  <si>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</si>
  <si>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</si>
  <si>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</si>
  <si>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</si>
  <si>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</si>
  <si>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</si>
  <si>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</si>
  <si>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</si>
  <si>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</si>
  <si>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</si>
  <si>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</si>
  <si>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</si>
  <si>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</si>
  <si>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</si>
  <si>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</si>
  <si>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</si>
  <si>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</si>
  <si>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</si>
  <si>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</si>
  <si>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</si>
  <si>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</si>
  <si>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</si>
  <si>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</si>
  <si>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</si>
  <si>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</si>
  <si>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</si>
  <si>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</si>
  <si>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</si>
  <si>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</si>
  <si>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</si>
  <si>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</si>
  <si>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</si>
  <si>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</si>
  <si>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</si>
  <si>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</si>
  <si>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</si>
  <si>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</si>
  <si>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</si>
  <si>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</si>
  <si>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</si>
  <si>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</si>
  <si>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</si>
  <si>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</si>
  <si>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</si>
  <si>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</si>
  <si>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</si>
  <si>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</si>
  <si>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</si>
  <si>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</si>
  <si>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</si>
  <si>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</si>
  <si>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</si>
  <si>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</si>
  <si>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</si>
  <si>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</si>
  <si>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</si>
  <si>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</si>
  <si>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</si>
  <si>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</si>
  <si>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</si>
  <si>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</si>
  <si>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</si>
  <si>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</si>
  <si>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</si>
  <si>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</si>
  <si>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</si>
  <si>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</si>
  <si>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</si>
  <si>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</si>
  <si>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</si>
  <si>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</si>
  <si>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</si>
  <si>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</si>
  <si>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</si>
  <si>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</si>
  <si>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</si>
  <si>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</si>
  <si>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</si>
  <si>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</si>
  <si>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</si>
  <si>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</si>
  <si>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</si>
  <si>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</si>
  <si>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</si>
  <si>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</si>
  <si>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</si>
  <si>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</si>
  <si>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</si>
  <si>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</si>
  <si>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</si>
  <si>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</si>
  <si>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</si>
  <si>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</si>
  <si>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</si>
  <si>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</si>
  <si>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</si>
  <si>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</si>
  <si>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</si>
  <si>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</si>
  <si>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</si>
  <si>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</si>
  <si>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</si>
  <si>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</si>
  <si>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</si>
  <si>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</si>
  <si>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</si>
  <si>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</si>
  <si>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</si>
  <si>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</si>
  <si>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</si>
  <si>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</si>
  <si>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</si>
  <si>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</si>
  <si>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</si>
  <si>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</si>
  <si>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</si>
  <si>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</si>
  <si>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</si>
  <si>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</si>
  <si>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</si>
  <si>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</si>
  <si>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</si>
  <si>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</si>
  <si>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</si>
  <si>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</si>
  <si>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</si>
  <si>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</si>
  <si>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</si>
  <si>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</si>
  <si>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</si>
  <si>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</si>
  <si>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</si>
  <si>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</si>
  <si>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</si>
  <si>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</si>
  <si>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</si>
  <si>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</si>
  <si>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</si>
  <si>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</si>
  <si>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</si>
  <si>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</si>
  <si>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</si>
  <si>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</si>
  <si>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</si>
  <si>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</si>
  <si>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</si>
  <si>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</si>
  <si>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</si>
  <si>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</si>
  <si>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</si>
  <si>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</si>
  <si>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</si>
  <si>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</si>
  <si>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</si>
  <si>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</si>
  <si>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</si>
  <si>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</si>
  <si>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</si>
  <si>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</si>
  <si>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</si>
  <si>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</si>
  <si>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</si>
  <si>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</si>
  <si>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</si>
  <si>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</si>
  <si>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</si>
  <si>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</si>
  <si>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</si>
  <si>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</si>
  <si>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</si>
  <si>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</si>
  <si>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</si>
  <si>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</si>
  <si>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</si>
  <si>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</si>
  <si>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</si>
  <si>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</si>
  <si>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</si>
  <si>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</si>
  <si>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</si>
  <si>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</si>
  <si>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</si>
  <si>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</si>
  <si>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</si>
  <si>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</si>
  <si>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</si>
  <si>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</si>
  <si>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</si>
  <si>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</si>
  <si>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</si>
  <si>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</si>
  <si>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</si>
  <si>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</si>
  <si>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</si>
  <si>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</si>
  <si>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</si>
  <si>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</si>
  <si>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</si>
  <si>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</si>
  <si>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</si>
  <si>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</si>
  <si>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</si>
  <si>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</si>
  <si>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</si>
  <si>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</si>
  <si>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</si>
  <si>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</si>
  <si>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</si>
  <si>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</si>
  <si>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</si>
  <si>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</si>
  <si>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</si>
  <si>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</si>
  <si>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</si>
  <si>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</si>
  <si>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</si>
  <si>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</si>
  <si>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</si>
  <si>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</si>
  <si>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</si>
  <si>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</si>
  <si>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</si>
  <si>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</si>
  <si>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</si>
  <si>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</si>
  <si>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</si>
  <si>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</si>
  <si>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</si>
  <si>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</si>
  <si>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</si>
  <si>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</si>
  <si>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</si>
  <si>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</si>
  <si>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</si>
  <si>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</si>
  <si>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</si>
  <si>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</si>
  <si>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</si>
  <si>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</si>
  <si>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</si>
  <si>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</si>
  <si>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</si>
  <si>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</si>
  <si>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</si>
  <si>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</si>
  <si>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</si>
  <si>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</si>
  <si>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</si>
  <si>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</si>
  <si>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</si>
  <si>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</si>
  <si>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</si>
  <si>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</si>
  <si>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</si>
  <si>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</si>
  <si>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</si>
  <si>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</si>
  <si>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</si>
  <si>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</si>
  <si>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</si>
  <si>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</si>
  <si>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</si>
  <si>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</si>
  <si>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</si>
  <si>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</si>
  <si>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</si>
  <si>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</si>
  <si>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</si>
  <si>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</si>
  <si>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</si>
  <si>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</si>
  <si>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</si>
  <si>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</si>
  <si>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</si>
  <si>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</si>
  <si>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</si>
  <si>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</si>
  <si>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</si>
  <si>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</si>
  <si>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</si>
  <si>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</si>
  <si>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</si>
  <si>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</si>
  <si>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</si>
  <si>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</si>
  <si>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</si>
  <si>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</si>
  <si>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</si>
  <si>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</si>
  <si>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</si>
  <si>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</si>
  <si>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</si>
  <si>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</si>
  <si>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</si>
  <si>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</si>
  <si>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</si>
  <si>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</si>
  <si>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</si>
  <si>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</si>
  <si>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</si>
  <si>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</si>
  <si>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</si>
  <si>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</si>
  <si>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</si>
  <si>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</si>
  <si>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</si>
  <si>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</si>
  <si>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</si>
  <si>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</si>
  <si>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</si>
  <si>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</si>
  <si>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</si>
  <si>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</si>
  <si>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</si>
  <si>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</si>
  <si>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</si>
  <si>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</si>
  <si>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</si>
  <si>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</si>
  <si>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</si>
  <si>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</si>
  <si>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</si>
  <si>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</si>
  <si>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</si>
  <si>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</si>
  <si>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</si>
  <si>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</si>
  <si>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</si>
  <si>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</si>
  <si>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</si>
  <si>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</si>
  <si>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</si>
  <si>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</si>
  <si>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</si>
  <si>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</si>
  <si>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</si>
  <si>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</si>
  <si>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</si>
  <si>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</si>
  <si>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</si>
  <si>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</si>
  <si>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</si>
  <si>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</si>
  <si>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</si>
  <si>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</si>
  <si>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</si>
  <si>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</si>
  <si>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</si>
  <si>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</si>
  <si>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</si>
  <si>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</si>
  <si>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</si>
  <si>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</si>
  <si>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</si>
  <si>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</si>
  <si>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</si>
  <si>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</si>
  <si>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</si>
  <si>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</si>
  <si>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</si>
  <si>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</si>
  <si>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</si>
  <si>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</si>
  <si>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</si>
  <si>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</si>
  <si>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</si>
  <si>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</si>
  <si>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</si>
  <si>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</si>
  <si>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</si>
  <si>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</si>
  <si>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</si>
  <si>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</si>
  <si>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</si>
  <si>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</si>
  <si>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</si>
  <si>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</si>
  <si>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</si>
  <si>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</si>
  <si>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</si>
  <si>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</si>
  <si>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</si>
  <si>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</si>
  <si>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</si>
  <si>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</si>
  <si>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</si>
  <si>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</si>
  <si>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</si>
  <si>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</si>
  <si>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</si>
  <si>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</si>
  <si>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</si>
  <si>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</si>
  <si>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</si>
  <si>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</si>
  <si>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</si>
  <si>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</si>
  <si>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</si>
  <si>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</si>
  <si>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</si>
  <si>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</si>
  <si>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</si>
  <si>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</si>
  <si>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</si>
  <si>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</si>
  <si>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</si>
  <si>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</si>
  <si>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</si>
  <si>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</si>
  <si>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</si>
  <si>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</si>
  <si>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</si>
  <si>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</si>
  <si>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</si>
  <si>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</si>
  <si>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</si>
  <si>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</si>
  <si>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</si>
  <si>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</si>
  <si>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</si>
  <si>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</si>
  <si>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</si>
  <si>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</si>
  <si>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</si>
  <si>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</si>
  <si>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</si>
  <si>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</si>
  <si>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</si>
  <si>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</si>
  <si>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</si>
  <si>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</si>
  <si>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</si>
  <si>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</si>
  <si>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</si>
  <si>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</si>
  <si>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</si>
  <si>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</si>
  <si>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</si>
  <si>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</si>
  <si>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</si>
  <si>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</si>
  <si>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</si>
  <si>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</si>
  <si>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</si>
  <si>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</si>
  <si>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</si>
  <si>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</si>
  <si>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</si>
  <si>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</si>
  <si>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</si>
  <si>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</si>
  <si>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</si>
  <si>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</si>
  <si>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</si>
  <si>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</si>
  <si>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</si>
  <si>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</si>
  <si>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</si>
  <si>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</si>
  <si>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</si>
  <si>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</si>
  <si>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</si>
  <si>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</si>
  <si>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</si>
  <si>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</si>
  <si>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</si>
  <si>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</si>
  <si>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</si>
  <si>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</si>
  <si>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</si>
  <si>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</si>
  <si>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</si>
  <si>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</si>
  <si>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</si>
  <si>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</si>
  <si>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</si>
  <si>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</si>
  <si>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</si>
  <si>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</si>
  <si>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</si>
  <si>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</si>
  <si>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</si>
  <si>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</si>
  <si>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</si>
  <si>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</si>
  <si>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</si>
  <si>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</si>
  <si>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</si>
  <si>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</si>
  <si>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</si>
  <si>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</si>
  <si>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</si>
  <si>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</si>
  <si>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</si>
  <si>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</si>
  <si>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</si>
  <si>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</si>
  <si>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</si>
  <si>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</si>
  <si>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</si>
  <si>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</si>
  <si>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</si>
  <si>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</si>
  <si>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</si>
  <si>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</si>
  <si>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</si>
  <si>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</si>
  <si>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</si>
  <si>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</si>
  <si>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</si>
  <si>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</si>
  <si>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</si>
  <si>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</si>
  <si>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</si>
  <si>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</si>
  <si>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</si>
  <si>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</si>
  <si>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</si>
  <si>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</si>
  <si>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</si>
  <si>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</si>
  <si>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</si>
  <si>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</si>
  <si>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</si>
  <si>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</si>
  <si>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</si>
  <si>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</si>
  <si>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</si>
  <si>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</si>
  <si>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</si>
  <si>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</si>
  <si>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</si>
  <si>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</si>
  <si>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</si>
  <si>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</si>
  <si>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</si>
  <si>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</si>
  <si>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</si>
  <si>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</si>
  <si>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</si>
  <si>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</si>
  <si>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</si>
  <si>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</si>
  <si>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</si>
  <si>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</si>
  <si>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</si>
  <si>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</si>
  <si>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</si>
  <si>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</si>
  <si>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</si>
  <si>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</si>
  <si>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</si>
  <si>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</si>
  <si>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</si>
  <si>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</si>
  <si>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</si>
  <si>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</si>
  <si>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</si>
  <si>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</si>
  <si>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</si>
  <si>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</si>
  <si>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</si>
  <si>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</si>
  <si>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</si>
  <si>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</si>
  <si>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</si>
  <si>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</si>
  <si>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</si>
  <si>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</si>
  <si>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</si>
  <si>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</si>
  <si>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</si>
  <si>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</si>
  <si>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</si>
  <si>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</si>
  <si>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</si>
  <si>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</si>
  <si>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</si>
  <si>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</si>
  <si>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</si>
  <si>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</si>
  <si>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</si>
  <si>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</si>
  <si>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</si>
  <si>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</si>
  <si>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</si>
  <si>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</si>
  <si>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</si>
  <si>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</si>
  <si>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</si>
  <si>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</si>
  <si>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</si>
  <si>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</si>
  <si>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</si>
  <si>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</si>
  <si>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</si>
  <si>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</si>
  <si>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</si>
  <si>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</si>
  <si>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</si>
  <si>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</si>
  <si>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</si>
  <si>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</si>
  <si>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</si>
  <si>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</si>
  <si>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</si>
  <si>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</si>
  <si>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</si>
  <si>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</si>
  <si>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</si>
  <si>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</si>
  <si>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</si>
  <si>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</si>
  <si>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</si>
  <si>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</si>
  <si>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</si>
  <si>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</si>
  <si>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</si>
  <si>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</si>
  <si>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</si>
  <si>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</si>
  <si>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</si>
  <si>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</si>
  <si>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</si>
  <si>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</si>
  <si>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</si>
  <si>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</si>
  <si>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</si>
  <si>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</si>
  <si>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</si>
  <si>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</si>
  <si>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</si>
  <si>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</si>
  <si>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</si>
  <si>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</si>
  <si>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</si>
  <si>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</si>
  <si>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</si>
  <si>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</si>
  <si>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</si>
  <si>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</si>
  <si>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</si>
  <si>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</si>
  <si>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</si>
  <si>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</si>
  <si>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</si>
  <si>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</si>
  <si>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</si>
  <si>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</si>
  <si>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</si>
  <si>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</si>
  <si>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</si>
  <si>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</si>
  <si>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</si>
  <si>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</si>
  <si>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</si>
  <si>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</si>
  <si>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</si>
  <si>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</si>
  <si>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</si>
  <si>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</si>
  <si>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</si>
  <si>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</si>
  <si>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</si>
  <si>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</si>
  <si>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</si>
  <si>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</si>
  <si>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</si>
  <si>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</si>
  <si>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</si>
  <si>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</si>
  <si>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</si>
  <si>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</si>
  <si>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</si>
  <si>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</si>
  <si>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</si>
  <si>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</si>
  <si>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</si>
  <si>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</si>
  <si>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</si>
  <si>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</si>
  <si>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</si>
  <si>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</si>
  <si>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</si>
  <si>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</si>
  <si>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</si>
  <si>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</si>
  <si>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</si>
  <si>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</si>
  <si>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</si>
  <si>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</si>
  <si>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</si>
  <si>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</si>
  <si>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</si>
  <si>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</si>
  <si>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</si>
  <si>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</si>
  <si>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</si>
  <si>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</si>
  <si>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</si>
  <si>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</si>
  <si>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</si>
  <si>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</si>
  <si>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</si>
  <si>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</si>
  <si>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</si>
  <si>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</si>
  <si>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</si>
  <si>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</si>
  <si>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</si>
  <si>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</si>
  <si>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</si>
  <si>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</si>
  <si>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</si>
  <si>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</si>
  <si>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</si>
  <si>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</si>
  <si>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</si>
  <si>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</si>
  <si>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</si>
  <si>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</si>
  <si>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</si>
  <si>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</si>
  <si>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</si>
  <si>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</si>
  <si>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</si>
  <si>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</si>
  <si>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</si>
  <si>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</si>
  <si>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</si>
  <si>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</si>
  <si>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</si>
  <si>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</si>
  <si>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</si>
  <si>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</si>
  <si>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</si>
  <si>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</si>
  <si>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</si>
  <si>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</si>
  <si>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</si>
  <si>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</si>
  <si>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</si>
  <si>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</si>
  <si>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</si>
  <si>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</si>
  <si>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</si>
  <si>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</si>
  <si>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</si>
  <si>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</si>
  <si>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</si>
  <si>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</si>
  <si>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</si>
  <si>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</si>
  <si>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</si>
  <si>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</si>
  <si>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</si>
  <si>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</si>
  <si>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</si>
  <si>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</si>
  <si>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</si>
  <si>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</si>
  <si>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</si>
  <si>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</si>
  <si>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</si>
  <si>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</si>
  <si>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</si>
  <si>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</si>
  <si>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</si>
  <si>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</si>
  <si>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</si>
  <si>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</si>
  <si>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</si>
  <si>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</si>
  <si>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</si>
  <si>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</si>
  <si>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</si>
  <si>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</si>
  <si>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</si>
  <si>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</si>
  <si>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</si>
  <si>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</si>
  <si>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</si>
  <si>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</si>
  <si>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</si>
  <si>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</si>
  <si>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</si>
  <si>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</si>
  <si>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</si>
  <si>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</si>
  <si>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</si>
  <si>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</si>
  <si>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</si>
  <si>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</si>
  <si>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</si>
  <si>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</si>
  <si>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</si>
  <si>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</si>
  <si>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</si>
  <si>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</si>
  <si>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</si>
  <si>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</si>
  <si>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</si>
  <si>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</si>
  <si>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</si>
  <si>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</si>
  <si>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</si>
  <si>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</si>
  <si>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</si>
  <si>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</si>
  <si>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</si>
  <si>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</si>
  <si>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</si>
  <si>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</si>
  <si>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</si>
  <si>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</si>
  <si>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</si>
  <si>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</si>
  <si>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</si>
  <si>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</si>
  <si>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</si>
  <si>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</si>
  <si>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</si>
  <si>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</si>
  <si>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</si>
  <si>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</si>
  <si>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</si>
  <si>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</si>
  <si>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</si>
  <si>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</si>
  <si>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</si>
  <si>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</si>
  <si>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</si>
  <si>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</si>
  <si>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</si>
  <si>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</si>
  <si>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</si>
  <si>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</si>
  <si>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</si>
  <si>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</si>
  <si>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</si>
  <si>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</si>
  <si>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</si>
  <si>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</si>
  <si>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</si>
  <si>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</si>
  <si>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</si>
  <si>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</si>
  <si>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</si>
  <si>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</si>
  <si>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</si>
  <si>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</si>
  <si>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</si>
  <si>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</si>
  <si>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</si>
  <si>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</si>
  <si>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</si>
  <si>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</si>
  <si>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</si>
  <si>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</si>
  <si>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</si>
  <si>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</si>
  <si>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</si>
  <si>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</si>
  <si>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</si>
  <si>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</si>
  <si>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</si>
  <si>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</si>
  <si>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</si>
  <si>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</si>
  <si>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</si>
  <si>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</si>
  <si>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</si>
  <si>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</si>
  <si>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</si>
  <si>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</si>
  <si>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</si>
  <si>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</si>
  <si>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</si>
  <si>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</si>
  <si>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</si>
  <si>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</si>
  <si>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</si>
  <si>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</si>
  <si>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</si>
  <si>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</si>
  <si>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</si>
  <si>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</si>
  <si>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</si>
  <si>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</si>
  <si>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</si>
  <si>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</si>
  <si>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</si>
  <si>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</si>
  <si>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</si>
  <si>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</si>
  <si>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</si>
  <si>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</si>
  <si>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</si>
  <si>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</si>
  <si>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</si>
  <si>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</si>
  <si>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</si>
  <si>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</si>
  <si>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</si>
  <si>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</si>
  <si>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</si>
  <si>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</si>
  <si>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</si>
  <si>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</si>
  <si>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</si>
  <si>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</si>
  <si>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</si>
  <si>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</si>
  <si>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</si>
  <si>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</si>
  <si>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</si>
  <si>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</si>
  <si>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</si>
  <si>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</si>
  <si>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</si>
  <si>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</si>
  <si>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</si>
  <si>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</si>
  <si>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</si>
  <si>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</si>
  <si>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</si>
  <si>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</si>
  <si>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</si>
  <si>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</si>
  <si>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</si>
  <si>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</si>
  <si>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</si>
  <si>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</si>
  <si>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</si>
  <si>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</si>
  <si>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</si>
  <si>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</si>
  <si>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</si>
  <si>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</si>
  <si>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</si>
  <si>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</si>
  <si>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</si>
  <si>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</si>
  <si>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</si>
  <si>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</si>
  <si>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</si>
  <si>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</si>
  <si>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</si>
  <si>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</si>
  <si>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</si>
  <si>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</si>
  <si>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</si>
  <si>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</si>
  <si>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</si>
  <si>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</si>
  <si>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</si>
  <si>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</si>
  <si>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</si>
  <si>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</si>
  <si>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</si>
  <si>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</si>
  <si>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</si>
  <si>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</si>
  <si>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</si>
  <si>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</si>
  <si>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</si>
  <si>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</si>
  <si>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</si>
  <si>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</si>
  <si>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</si>
  <si>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</si>
  <si>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</si>
  <si>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</si>
  <si>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</si>
  <si>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</si>
  <si>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</si>
  <si>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</si>
  <si>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</si>
  <si>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</si>
  <si>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</si>
  <si>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</si>
  <si>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</si>
  <si>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</si>
  <si>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</si>
  <si>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</si>
  <si>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</si>
  <si>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</si>
  <si>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</si>
  <si>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</si>
  <si>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</si>
  <si>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</si>
  <si>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</si>
  <si>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</si>
  <si>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</si>
  <si>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</si>
  <si>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</si>
  <si>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</si>
  <si>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</si>
  <si>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</si>
  <si>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</si>
  <si>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</si>
  <si>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</si>
  <si>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</si>
  <si>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</si>
  <si>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</si>
  <si>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</si>
  <si>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</si>
  <si>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</si>
  <si>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</si>
  <si>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</si>
  <si>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</si>
  <si>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</si>
  <si>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</si>
  <si>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</si>
  <si>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</si>
  <si>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</si>
  <si>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</si>
  <si>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</si>
  <si>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</si>
  <si>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</si>
  <si>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</si>
  <si>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</si>
  <si>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</si>
  <si>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</si>
  <si>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</si>
  <si>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</si>
  <si>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</si>
  <si>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</si>
  <si>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</si>
  <si>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</si>
  <si>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</si>
  <si>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</si>
  <si>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</si>
  <si>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</si>
  <si>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</si>
  <si>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</si>
  <si>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</si>
  <si>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</si>
  <si>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</si>
  <si>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</si>
  <si>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</si>
  <si>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</si>
  <si>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</si>
  <si>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</si>
  <si>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</si>
  <si>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</si>
  <si>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</si>
  <si>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</si>
  <si>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</si>
  <si>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</si>
  <si>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</si>
  <si>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</si>
  <si>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</si>
  <si>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</si>
  <si>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</si>
  <si>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</si>
  <si>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</si>
  <si>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</si>
  <si>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</si>
  <si>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</si>
  <si>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</si>
  <si>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</si>
  <si>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</si>
  <si>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</si>
  <si>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</si>
  <si>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</si>
  <si>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</si>
  <si>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</si>
  <si>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</si>
  <si>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</si>
  <si>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</si>
  <si>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</si>
  <si>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</si>
  <si>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</si>
  <si>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</si>
  <si>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</si>
  <si>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</si>
  <si>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</si>
  <si>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</si>
  <si>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</si>
  <si>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</si>
  <si>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</si>
  <si>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</si>
  <si>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</si>
  <si>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</si>
  <si>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</si>
  <si>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</si>
  <si>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</si>
  <si>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</si>
  <si>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</si>
  <si>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</si>
  <si>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</si>
  <si>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</si>
  <si>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</si>
  <si>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</si>
  <si>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</si>
  <si>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</si>
  <si>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</si>
  <si>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</si>
  <si>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</si>
  <si>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</si>
  <si>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</si>
  <si>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</si>
  <si>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</si>
  <si>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</si>
  <si>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</si>
  <si>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</si>
  <si>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</si>
  <si>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</si>
  <si>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</si>
  <si>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</si>
  <si>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</si>
  <si>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</si>
  <si>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</si>
  <si>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</si>
  <si>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</si>
  <si>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</si>
  <si>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</si>
  <si>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</si>
  <si>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</si>
  <si>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</si>
  <si>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</si>
  <si>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</si>
  <si>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</si>
  <si>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</si>
  <si>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</si>
  <si>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</si>
  <si>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</si>
  <si>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</si>
  <si>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</si>
  <si>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</si>
  <si>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</si>
  <si>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</si>
  <si>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</si>
  <si>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</si>
  <si>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</si>
  <si>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</si>
  <si>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</si>
  <si>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</si>
  <si>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</si>
  <si>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</si>
  <si>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</si>
  <si>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</si>
  <si>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</si>
  <si>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</si>
  <si>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</si>
  <si>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</si>
  <si>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</si>
  <si>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</si>
  <si>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</si>
  <si>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</si>
  <si>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</si>
  <si>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</si>
  <si>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</si>
  <si>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</si>
  <si>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</si>
  <si>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</si>
  <si>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</si>
  <si>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</si>
  <si>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</si>
  <si>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</si>
  <si>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</si>
  <si>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</si>
  <si>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</si>
  <si>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</si>
  <si>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</si>
  <si>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</si>
  <si>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</si>
  <si>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</si>
  <si>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</si>
  <si>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</si>
  <si>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</si>
  <si>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</si>
  <si>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</si>
  <si>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</si>
  <si>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</si>
  <si>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</si>
  <si>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</si>
  <si>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</si>
  <si>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</si>
  <si>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</si>
  <si>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</si>
  <si>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</si>
  <si>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</si>
  <si>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</si>
  <si>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</si>
  <si>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</si>
  <si>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</si>
  <si>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</si>
  <si>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</si>
  <si>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</si>
  <si>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</si>
  <si>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</si>
  <si>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</si>
  <si>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</si>
  <si>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</si>
  <si>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</si>
  <si>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</si>
  <si>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</si>
  <si>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</si>
  <si>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</si>
  <si>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</si>
  <si>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</si>
  <si>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</si>
  <si>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</si>
  <si>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</si>
  <si>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</si>
  <si>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</si>
  <si>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</si>
  <si>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</si>
  <si>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</si>
  <si>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</si>
  <si>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</si>
  <si>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</si>
  <si>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</si>
  <si>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</si>
  <si>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</si>
  <si>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</si>
  <si>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</si>
  <si>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</si>
  <si>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</si>
  <si>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</si>
  <si>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</si>
  <si>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</si>
  <si>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</si>
  <si>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</si>
  <si>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</si>
  <si>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</si>
  <si>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</si>
  <si>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</si>
  <si>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</si>
  <si>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</si>
  <si>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</si>
  <si>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</si>
  <si>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</si>
  <si>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</si>
  <si>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</si>
  <si>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</si>
  <si>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</si>
  <si>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</si>
  <si>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</si>
  <si>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</si>
  <si>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</si>
  <si>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</si>
  <si>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</si>
  <si>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</si>
  <si>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</si>
  <si>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</si>
  <si>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</si>
  <si>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</si>
  <si>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</si>
  <si>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</si>
  <si>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</si>
  <si>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</si>
  <si>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</si>
  <si>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</si>
  <si>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</si>
  <si>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</si>
  <si>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</si>
  <si>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</si>
  <si>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</si>
  <si>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</si>
  <si>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</si>
  <si>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</si>
  <si>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</si>
  <si>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</si>
  <si>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</si>
  <si>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</si>
  <si>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</si>
  <si>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</si>
  <si>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</si>
  <si>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</si>
  <si>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</si>
  <si>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</si>
  <si>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</si>
  <si>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</si>
  <si>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</si>
  <si>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</si>
  <si>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</si>
  <si>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</si>
  <si>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</si>
  <si>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</si>
  <si>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</si>
  <si>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</si>
  <si>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</si>
  <si>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</si>
  <si>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</si>
  <si>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</si>
  <si>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</si>
  <si>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</si>
  <si>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</si>
  <si>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</si>
  <si>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</si>
  <si>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</si>
  <si>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</si>
  <si>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</si>
  <si>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</si>
  <si>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</si>
  <si>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</si>
  <si>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</si>
  <si>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</si>
  <si>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</si>
  <si>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</si>
  <si>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</si>
  <si>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</si>
  <si>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</si>
  <si>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</si>
  <si>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</si>
  <si>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</si>
  <si>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</si>
  <si>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</si>
  <si>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</si>
  <si>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</si>
  <si>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</si>
  <si>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</si>
  <si>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</si>
  <si>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</si>
  <si>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</si>
  <si>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</si>
  <si>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</si>
  <si>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</si>
  <si>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</si>
  <si>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</si>
  <si>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</si>
  <si>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</si>
  <si>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</si>
  <si>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</si>
  <si>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</si>
  <si>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</si>
  <si>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</si>
  <si>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</si>
  <si>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</si>
  <si>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</si>
  <si>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</si>
  <si>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</si>
  <si>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</si>
  <si>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</si>
  <si>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</si>
  <si>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</si>
  <si>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</si>
  <si>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</si>
  <si>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</si>
  <si>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</si>
  <si>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</si>
  <si>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</si>
  <si>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</si>
  <si>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</si>
  <si>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</si>
  <si>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</si>
  <si>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</si>
  <si>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</si>
  <si>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</si>
  <si>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</si>
  <si>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</si>
  <si>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</si>
  <si>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</si>
  <si>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</si>
  <si>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</si>
  <si>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</si>
  <si>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</si>
  <si>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</si>
  <si>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</si>
  <si>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</si>
  <si>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</si>
  <si>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</si>
  <si>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</si>
  <si>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</si>
  <si>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</si>
  <si>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</si>
  <si>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</si>
  <si>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</si>
  <si>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</si>
  <si>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</si>
  <si>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</si>
  <si>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</si>
  <si>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</si>
  <si>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</si>
  <si>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</si>
  <si>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</si>
  <si>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</si>
  <si>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</si>
  <si>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</si>
  <si>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</si>
  <si>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</si>
  <si>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</si>
  <si>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</si>
  <si>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</si>
  <si>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</si>
  <si>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</si>
  <si>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</si>
  <si>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</si>
  <si>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</si>
  <si>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</si>
  <si>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</si>
  <si>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</si>
  <si>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</si>
  <si>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</si>
  <si>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</si>
  <si>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</si>
  <si>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</si>
  <si>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</si>
  <si>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</si>
  <si>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</si>
  <si>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</si>
  <si>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</si>
  <si>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</si>
  <si>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</si>
  <si>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</si>
  <si>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</si>
  <si>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</si>
  <si>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</si>
  <si>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</si>
  <si>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</si>
  <si>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</si>
  <si>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</si>
  <si>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</si>
  <si>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</si>
  <si>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</si>
  <si>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</si>
  <si>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</si>
  <si>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</si>
  <si>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</si>
  <si>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</si>
  <si>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</si>
  <si>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</si>
  <si>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</si>
  <si>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</si>
  <si>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</si>
  <si>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</si>
  <si>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</si>
  <si>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</si>
  <si>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</si>
  <si>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</si>
  <si>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</si>
  <si>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</si>
  <si>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</si>
  <si>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</si>
  <si>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</si>
  <si>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</si>
  <si>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</si>
  <si>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</si>
  <si>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</si>
  <si>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</si>
  <si>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</si>
  <si>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</si>
  <si>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</si>
  <si>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</si>
  <si>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</si>
  <si>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</si>
  <si>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</si>
  <si>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</si>
  <si>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</si>
  <si>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</si>
  <si>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</si>
  <si>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</si>
  <si>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</si>
  <si>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</si>
  <si>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</si>
  <si>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</si>
  <si>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</si>
  <si>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</si>
  <si>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</si>
  <si>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</si>
  <si>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</si>
  <si>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</si>
  <si>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</si>
  <si>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</si>
  <si>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</si>
  <si>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</si>
  <si>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</si>
  <si>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</si>
  <si>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</si>
  <si>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</si>
  <si>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</si>
  <si>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</si>
  <si>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</si>
  <si>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</si>
  <si>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</si>
  <si>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</si>
  <si>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</si>
  <si>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</si>
  <si>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</si>
  <si>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</si>
  <si>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</si>
  <si>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</si>
  <si>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</si>
  <si>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</si>
  <si>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</si>
  <si>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</si>
  <si>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</si>
  <si>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</si>
  <si>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</si>
  <si>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</si>
  <si>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</si>
  <si>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</si>
  <si>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</si>
  <si>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</si>
  <si>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</si>
  <si>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</si>
  <si>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</si>
  <si>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</si>
  <si>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</si>
  <si>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</si>
  <si>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</si>
  <si>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</si>
  <si>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</si>
  <si>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</si>
  <si>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</si>
  <si>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</si>
  <si>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</si>
  <si>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</si>
  <si>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</si>
  <si>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</si>
  <si>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</si>
  <si>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</si>
  <si>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</si>
  <si>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</si>
  <si>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</si>
  <si>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</si>
  <si>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</si>
  <si>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</si>
  <si>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</si>
  <si>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</si>
  <si>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</si>
  <si>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</si>
  <si>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</si>
  <si>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</si>
  <si>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</si>
  <si>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</si>
  <si>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</si>
  <si>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</si>
  <si>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</si>
  <si>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</si>
  <si>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</si>
  <si>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</si>
  <si>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</si>
  <si>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</si>
  <si>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</si>
  <si>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</si>
  <si>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</si>
  <si>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</si>
  <si>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</si>
  <si>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</si>
  <si>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</si>
  <si>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</si>
  <si>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</si>
  <si>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</si>
  <si>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</si>
  <si>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</si>
  <si>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</si>
  <si>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</si>
  <si>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</si>
  <si>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</si>
  <si>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</si>
  <si>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</si>
  <si>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</si>
  <si>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</si>
  <si>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</si>
  <si>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</si>
  <si>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</si>
  <si>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</si>
  <si>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</si>
  <si>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</si>
  <si>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</si>
  <si>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</si>
  <si>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</si>
  <si>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</si>
  <si>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</si>
  <si>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</si>
  <si>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</si>
  <si>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</si>
  <si>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</si>
  <si>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</si>
  <si>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</si>
  <si>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</si>
  <si>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</si>
  <si>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</si>
  <si>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</si>
  <si>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</si>
  <si>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</si>
  <si>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</si>
  <si>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</si>
  <si>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</si>
  <si>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</si>
  <si>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</si>
  <si>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</si>
  <si>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</si>
  <si>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</si>
  <si>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</si>
  <si>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</si>
  <si>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</si>
  <si>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</si>
  <si>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</si>
  <si>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</si>
  <si>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</si>
  <si>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</si>
  <si>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</si>
  <si>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</si>
  <si>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</si>
  <si>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</si>
  <si>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</si>
  <si>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</si>
  <si>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</si>
  <si>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</si>
  <si>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</si>
  <si>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</si>
  <si>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</si>
  <si>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</si>
  <si>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</si>
  <si>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</si>
  <si>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</si>
  <si>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</si>
  <si>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</si>
  <si>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</si>
  <si>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</si>
  <si>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</si>
  <si>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</si>
  <si>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</si>
  <si>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</si>
  <si>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</si>
  <si>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</si>
  <si>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</si>
  <si>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</si>
  <si>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</si>
  <si>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</si>
  <si>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</si>
  <si>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</si>
  <si>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</si>
  <si>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</si>
  <si>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</si>
  <si>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</si>
  <si>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</si>
  <si>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</si>
  <si>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</si>
  <si>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</si>
  <si>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</si>
  <si>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</si>
  <si>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</si>
  <si>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</si>
  <si>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</si>
  <si>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</si>
  <si>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</si>
  <si>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</si>
  <si>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</si>
  <si>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</si>
  <si>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</si>
  <si>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</si>
  <si>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</si>
  <si>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</si>
  <si>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</si>
  <si>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</si>
  <si>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</si>
  <si>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</si>
  <si>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</si>
  <si>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</si>
  <si>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</si>
  <si>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</si>
  <si>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</si>
  <si>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</si>
  <si>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</si>
  <si>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</si>
  <si>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</si>
  <si>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</si>
  <si>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</si>
  <si>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</si>
  <si>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</si>
  <si>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</si>
  <si>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</si>
  <si>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</si>
  <si>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</si>
  <si>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</si>
  <si>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</si>
  <si>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</si>
  <si>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</si>
  <si>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</si>
  <si>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</si>
  <si>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</si>
  <si>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</si>
  <si>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</si>
  <si>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</si>
  <si>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</si>
  <si>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</si>
  <si>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</si>
  <si>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</si>
  <si>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</si>
  <si>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</si>
  <si>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</si>
  <si>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</si>
  <si>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</si>
  <si>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</si>
  <si>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</si>
  <si>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</si>
  <si>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</si>
  <si>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</si>
  <si>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</si>
  <si>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</si>
  <si>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</si>
  <si>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</si>
  <si>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</si>
  <si>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</si>
  <si>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</si>
  <si>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</si>
  <si>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</si>
  <si>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</si>
  <si>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</si>
  <si>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</si>
  <si>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</si>
  <si>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</si>
  <si>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</si>
  <si>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</si>
  <si>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</si>
  <si>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</si>
  <si>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</si>
  <si>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</si>
  <si>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</si>
  <si>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</si>
  <si>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</si>
  <si>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</si>
  <si>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</si>
  <si>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</si>
  <si>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</si>
  <si>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</si>
  <si>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</si>
  <si>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</si>
  <si>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</si>
  <si>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</si>
  <si>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</si>
  <si>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</si>
  <si>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</si>
  <si>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</si>
  <si>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</si>
  <si>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</si>
  <si>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</si>
  <si>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</si>
  <si>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</si>
  <si>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</si>
  <si>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</si>
  <si>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</si>
  <si>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</si>
  <si>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</si>
  <si>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</si>
  <si>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</si>
  <si>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</si>
  <si>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</si>
  <si>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</si>
  <si>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</si>
  <si>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</si>
  <si>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</si>
  <si>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</si>
  <si>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</si>
  <si>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</si>
  <si>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</si>
  <si>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</si>
  <si>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</si>
  <si>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</si>
  <si>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</si>
  <si>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</si>
  <si>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</si>
  <si>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</si>
  <si>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</si>
  <si>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</si>
  <si>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</si>
  <si>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</si>
  <si>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</si>
  <si>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</si>
  <si>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</si>
  <si>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</si>
  <si>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</si>
  <si>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</si>
  <si>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</si>
  <si>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</si>
  <si>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</si>
  <si>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</si>
  <si>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</si>
  <si>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</si>
  <si>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</si>
  <si>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</si>
  <si>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</si>
  <si>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</si>
  <si>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</si>
  <si>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</si>
  <si>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</si>
  <si>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</si>
  <si>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</si>
  <si>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</si>
  <si>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</si>
  <si>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</si>
  <si>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</si>
  <si>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</si>
  <si>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</si>
  <si>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</si>
  <si>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</si>
  <si>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</si>
  <si>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</si>
  <si>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</si>
  <si>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</si>
  <si>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</si>
  <si>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</si>
  <si>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</si>
  <si>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</si>
  <si>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</si>
  <si>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</si>
  <si>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</si>
  <si>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</si>
  <si>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</si>
  <si>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</si>
  <si>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</si>
  <si>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</si>
  <si>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</si>
  <si>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</si>
  <si>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</si>
  <si>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</si>
  <si>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</si>
  <si>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</si>
  <si>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</si>
  <si>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</si>
  <si>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</si>
  <si>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</si>
  <si>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</si>
  <si>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</si>
  <si>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</si>
  <si>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</si>
  <si>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</si>
  <si>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</si>
  <si>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</si>
  <si>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</si>
  <si>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</si>
  <si>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</si>
  <si>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</si>
  <si>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</si>
  <si>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</si>
  <si>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</si>
  <si>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</si>
  <si>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</si>
  <si>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</si>
  <si>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</si>
  <si>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</si>
  <si>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</si>
  <si>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</si>
  <si>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</si>
  <si>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</si>
  <si>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</si>
  <si>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</si>
  <si>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</si>
  <si>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</si>
  <si>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</si>
  <si>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</si>
  <si>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</si>
  <si>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</si>
  <si>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</si>
  <si>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</si>
  <si>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</si>
  <si>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</si>
  <si>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</si>
  <si>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</si>
  <si>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</si>
  <si>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</si>
  <si>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</si>
  <si>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</si>
  <si>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</si>
  <si>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</si>
  <si>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</si>
  <si>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</si>
  <si>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</si>
  <si>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</si>
  <si>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</si>
  <si>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</si>
  <si>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</si>
  <si>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</si>
  <si>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</si>
  <si>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</si>
  <si>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</si>
  <si>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</si>
  <si>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</si>
  <si>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</si>
  <si>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</si>
  <si>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</si>
  <si>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</si>
  <si>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</si>
  <si>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</si>
  <si>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</si>
  <si>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</si>
  <si>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</si>
  <si>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</si>
  <si>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</si>
  <si>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</si>
  <si>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</si>
  <si>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</si>
  <si>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</si>
  <si>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</si>
  <si>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</si>
  <si>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</si>
  <si>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</si>
  <si>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</si>
  <si>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</si>
  <si>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</si>
  <si>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</si>
  <si>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</si>
  <si>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</si>
  <si>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</si>
  <si>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</si>
  <si>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</si>
  <si>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</si>
  <si>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</si>
  <si>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</si>
  <si>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</si>
  <si>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</si>
  <si>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</si>
  <si>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</si>
  <si>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</si>
  <si>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</si>
  <si>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</si>
  <si>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</si>
  <si>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</si>
  <si>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</si>
  <si>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</si>
  <si>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</si>
  <si>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</si>
  <si>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</si>
  <si>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</si>
  <si>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</si>
  <si>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</si>
  <si>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</si>
  <si>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</si>
  <si>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</si>
  <si>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</si>
  <si>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</si>
  <si>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</si>
  <si>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</si>
  <si>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</si>
  <si>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</si>
  <si>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</si>
  <si>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</si>
  <si>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</si>
  <si>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</si>
  <si>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</si>
  <si>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</si>
  <si>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</si>
  <si>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</si>
  <si>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</si>
  <si>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</si>
  <si>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</si>
  <si>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</si>
  <si>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</si>
  <si>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</si>
  <si>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</si>
  <si>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</si>
  <si>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</si>
  <si>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</si>
  <si>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</si>
  <si>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</si>
  <si>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</si>
  <si>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</si>
  <si>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</si>
  <si>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</si>
  <si>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</si>
  <si>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</si>
  <si>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</si>
  <si>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</si>
  <si>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</si>
  <si>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</si>
  <si>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</si>
  <si>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</si>
  <si>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</si>
  <si>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</si>
  <si>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</si>
  <si>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</si>
  <si>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</si>
  <si>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</si>
  <si>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</si>
  <si>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</si>
  <si>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</si>
  <si>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</si>
  <si>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</si>
  <si>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</si>
  <si>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</si>
  <si>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</si>
  <si>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</si>
  <si>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</si>
  <si>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</si>
  <si>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</si>
  <si>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</si>
  <si>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</si>
  <si>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</si>
  <si>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</si>
  <si>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</si>
  <si>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</si>
  <si>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</si>
  <si>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</si>
  <si>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</si>
  <si>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</si>
  <si>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</si>
  <si>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</si>
  <si>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</si>
  <si>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</si>
  <si>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</si>
  <si>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</si>
  <si>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</si>
  <si>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</si>
  <si>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</si>
  <si>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</si>
  <si>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</si>
  <si>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</si>
  <si>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</si>
  <si>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</si>
  <si>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</si>
  <si>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</si>
  <si>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</si>
  <si>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</si>
  <si>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</si>
  <si>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</si>
  <si>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</si>
  <si>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</si>
  <si>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</si>
  <si>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</si>
  <si>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</si>
  <si>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</si>
  <si>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</si>
  <si>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</si>
  <si>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</si>
  <si>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</si>
  <si>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</si>
  <si>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</si>
  <si>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</si>
  <si>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</si>
  <si>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</si>
  <si>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</si>
  <si>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</si>
  <si>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</si>
  <si>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</si>
  <si>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</si>
  <si>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</si>
  <si>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</si>
  <si>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</si>
  <si>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</si>
  <si>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</si>
  <si>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</si>
  <si>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</si>
  <si>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</si>
  <si>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</si>
  <si>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</si>
  <si>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</si>
  <si>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</si>
  <si>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</si>
  <si>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</si>
  <si>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</si>
  <si>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</si>
  <si>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</si>
  <si>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</si>
  <si>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</si>
  <si>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</si>
  <si>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</si>
  <si>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</si>
  <si>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</si>
  <si>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</si>
  <si>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</si>
  <si>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</si>
  <si>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</si>
  <si>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</si>
  <si>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</si>
  <si>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</si>
  <si>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</si>
  <si>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</si>
  <si>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</si>
  <si>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</si>
  <si>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</si>
  <si>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</si>
  <si>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</si>
  <si>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</si>
  <si>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</si>
  <si>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</si>
  <si>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</si>
  <si>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</si>
  <si>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</si>
  <si>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</si>
  <si>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</si>
  <si>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</si>
  <si>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</si>
  <si>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</si>
  <si>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</si>
  <si>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</si>
  <si>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</si>
  <si>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</si>
  <si>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</si>
  <si>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</si>
  <si>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</si>
  <si>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</si>
  <si>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</si>
  <si>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</si>
  <si>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</si>
  <si>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</si>
  <si>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</si>
  <si>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</si>
  <si>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</si>
  <si>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</si>
  <si>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</si>
  <si>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</si>
  <si>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</si>
  <si>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</si>
  <si>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</si>
  <si>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</si>
  <si>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</si>
  <si>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</si>
  <si>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</si>
  <si>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</si>
  <si>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</si>
  <si>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</si>
  <si>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</si>
  <si>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</si>
  <si>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</si>
  <si>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</si>
  <si>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</si>
  <si>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</si>
  <si>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</si>
  <si>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</si>
  <si>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</si>
  <si>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</si>
  <si>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</si>
  <si>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</si>
  <si>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</si>
  <si>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</si>
  <si>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</si>
  <si>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</si>
  <si>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</si>
  <si>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</si>
  <si>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</si>
  <si>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</si>
  <si>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</si>
  <si>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</si>
  <si>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</si>
  <si>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</si>
  <si>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</si>
  <si>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</si>
  <si>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</si>
  <si>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</si>
  <si>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</si>
  <si>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</si>
  <si>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</si>
  <si>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</si>
  <si>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</si>
  <si>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</si>
  <si>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</si>
  <si>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</si>
  <si>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</si>
  <si>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</si>
  <si>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</si>
  <si>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</si>
  <si>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</si>
  <si>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</si>
  <si>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</si>
  <si>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</si>
  <si>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</si>
  <si>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</si>
  <si>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</si>
  <si>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</si>
  <si>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</si>
  <si>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</si>
  <si>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</si>
  <si>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</si>
  <si>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</si>
  <si>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</si>
  <si>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</si>
  <si>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</si>
  <si>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</si>
  <si>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</si>
  <si>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</si>
  <si>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</si>
  <si>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</si>
  <si>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</si>
  <si>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</si>
  <si>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</si>
  <si>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</si>
  <si>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</si>
  <si>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</si>
  <si>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</si>
  <si>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</si>
  <si>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</si>
  <si>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</si>
  <si>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</si>
  <si>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</si>
  <si>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</si>
  <si>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</si>
  <si>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</si>
  <si>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</si>
  <si>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</si>
  <si>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</si>
  <si>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</si>
  <si>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</si>
  <si>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</si>
  <si>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</si>
  <si>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</si>
  <si>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</si>
  <si>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中文 Chinese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</si>
</sst>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7">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82"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xr:uid="{00000000-0005-0000-0000-0000C5020000}"/>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xr:uid="{00000000-0005-0000-0000-0000C6020000}"/>
    <cellStyle name="標準 2 2" xfId="594" xr:uid="{00000000-0005-0000-0000-0000C7020000}"/>
    <cellStyle name="標準 2 3" xfId="595" xr:uid="{00000000-0005-0000-0000-0000C8020000}"/>
    <cellStyle name="良い" xfId="675" builtinId="26" customBuiltin="1"/>
    <cellStyle name="표준 2" xfId="591" xr:uid="{00000000-0005-0000-0000-0000C4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12216</v>
      </c>
      <c r="F13" s="225" t="s">
        <v>12225</v>
      </c>
      <c r="G13" s="24"/>
    </row>
    <row r="14" spans="1:7" ht="57.5">
      <c r="A14" s="388"/>
      <c r="B14" s="222">
        <v>1.01</v>
      </c>
      <c r="C14" s="223" t="s">
        <v>12</v>
      </c>
      <c r="D14" s="224">
        <v>44523</v>
      </c>
      <c r="E14" s="223" t="s">
        <v>12217</v>
      </c>
      <c r="F14" s="225" t="s">
        <v>12225</v>
      </c>
      <c r="G14" s="24"/>
    </row>
    <row r="15" spans="1:7" ht="57.5">
      <c r="A15" s="388"/>
      <c r="B15" s="222">
        <v>1.02</v>
      </c>
      <c r="C15" s="223" t="s">
        <v>12</v>
      </c>
      <c r="D15" s="224">
        <v>44553</v>
      </c>
      <c r="E15" s="223" t="s">
        <v>12218</v>
      </c>
      <c r="F15" s="225" t="s">
        <v>12225</v>
      </c>
      <c r="G15" s="24"/>
    </row>
    <row r="16" spans="1:7" ht="92">
      <c r="A16" s="388"/>
      <c r="B16" s="222">
        <v>1.1000000000000001</v>
      </c>
      <c r="C16" s="223" t="s">
        <v>12</v>
      </c>
      <c r="D16" s="224">
        <v>44848</v>
      </c>
      <c r="E16" s="223" t="s">
        <v>12219</v>
      </c>
      <c r="F16" s="225" t="s">
        <v>12226</v>
      </c>
      <c r="G16" s="24"/>
    </row>
    <row r="17" spans="1:7" ht="57.5">
      <c r="A17" s="388"/>
      <c r="B17" s="222">
        <v>1.1100000000000001</v>
      </c>
      <c r="C17" s="223" t="s">
        <v>12</v>
      </c>
      <c r="D17" s="224">
        <v>44869</v>
      </c>
      <c r="E17" s="223" t="s">
        <v>12220</v>
      </c>
      <c r="F17" s="225" t="s">
        <v>12226</v>
      </c>
      <c r="G17" s="24"/>
    </row>
    <row r="18" spans="1:7" ht="57.5">
      <c r="A18" s="388"/>
      <c r="B18" s="222">
        <v>1.2</v>
      </c>
      <c r="C18" s="223" t="s">
        <v>12</v>
      </c>
      <c r="D18" s="224">
        <v>45058</v>
      </c>
      <c r="E18" s="223" t="s">
        <v>12269</v>
      </c>
      <c r="F18" s="225" t="s">
        <v>12227</v>
      </c>
      <c r="G18" s="24"/>
    </row>
    <row r="19" spans="1:7" ht="57.5">
      <c r="A19" s="388"/>
      <c r="B19" s="222">
        <v>1.3</v>
      </c>
      <c r="C19" s="223" t="s">
        <v>12</v>
      </c>
      <c r="D19" s="224">
        <v>45408</v>
      </c>
      <c r="E19" s="286" t="s">
        <v>20008</v>
      </c>
      <c r="F19" s="225" t="s">
        <v>12270</v>
      </c>
      <c r="G19" s="24"/>
    </row>
    <row r="20" spans="1:7" ht="57.5">
      <c r="A20" s="388"/>
      <c r="B20" s="291" t="s">
        <v>18642</v>
      </c>
      <c r="C20" s="223" t="s">
        <v>12</v>
      </c>
      <c r="D20" s="224">
        <v>45772</v>
      </c>
      <c r="E20" s="286" t="s">
        <v>19186</v>
      </c>
      <c r="F20" s="225" t="s">
        <v>19309</v>
      </c>
      <c r="G20" s="24"/>
    </row>
    <row r="21" spans="1:7" ht="80.5">
      <c r="A21" s="388"/>
      <c r="B21" s="291" t="s">
        <v>20112</v>
      </c>
      <c r="C21" s="223" t="s">
        <v>12</v>
      </c>
      <c r="D21" s="384">
        <v>45947</v>
      </c>
      <c r="E21" s="385" t="s">
        <v>20116</v>
      </c>
      <c r="F21" s="225" t="s">
        <v>20111</v>
      </c>
      <c r="G21" s="24"/>
    </row>
    <row r="22" spans="1:7" ht="14" thickBot="1">
      <c r="A22" s="389"/>
      <c r="B22" s="393" t="str">
        <f ca="1">OFFSET(L!$C$1,MATCH("General"&amp;"Cpy",L!$A:$A,0)-1,SL,,)</f>
        <v>© 2025 负责任矿物计划。保留所有权利。</v>
      </c>
      <c r="C22" s="393"/>
      <c r="D22" s="393"/>
      <c r="E22" s="393"/>
      <c r="F22" s="393"/>
      <c r="G22" s="25"/>
    </row>
    <row r="23" spans="1:7" ht="14"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351</v>
      </c>
      <c r="C1" s="125" t="s">
        <v>352</v>
      </c>
      <c r="D1" s="125" t="s">
        <v>17</v>
      </c>
      <c r="E1" s="238" t="s">
        <v>353</v>
      </c>
      <c r="F1" s="239" t="s">
        <v>354</v>
      </c>
      <c r="G1" s="125" t="s">
        <v>355</v>
      </c>
      <c r="H1" s="274" t="s">
        <v>356</v>
      </c>
      <c r="I1" s="187" t="s">
        <v>18472</v>
      </c>
    </row>
    <row r="2" spans="1:9" ht="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1.5">
      <c r="A9" s="125" t="str">
        <f t="shared" ref="A9" si="1">B9&amp;C9</f>
        <v>InstructionsA9</v>
      </c>
      <c r="B9" s="125" t="s">
        <v>357</v>
      </c>
      <c r="C9" s="125" t="s">
        <v>385</v>
      </c>
      <c r="D9" s="125" t="s">
        <v>20155</v>
      </c>
      <c r="E9" s="238" t="s">
        <v>20156</v>
      </c>
      <c r="F9" s="239" t="s">
        <v>20154</v>
      </c>
      <c r="G9" s="125" t="s">
        <v>20157</v>
      </c>
      <c r="H9" s="274" t="s">
        <v>20158</v>
      </c>
      <c r="I9" s="99" t="s">
        <v>20159</v>
      </c>
    </row>
    <row r="10" spans="1:9" ht="40.5">
      <c r="A10" s="125" t="str">
        <f t="shared" si="0"/>
        <v>InstructionsA10</v>
      </c>
      <c r="B10" s="125" t="s">
        <v>357</v>
      </c>
      <c r="C10" s="125" t="s">
        <v>390</v>
      </c>
      <c r="D10" s="125" t="s">
        <v>19361</v>
      </c>
      <c r="E10" s="238" t="s">
        <v>386</v>
      </c>
      <c r="F10" s="239" t="s">
        <v>387</v>
      </c>
      <c r="G10" s="125" t="s">
        <v>388</v>
      </c>
      <c r="H10" s="274" t="s">
        <v>389</v>
      </c>
      <c r="I10" s="125" t="s">
        <v>18476</v>
      </c>
    </row>
    <row r="11" spans="1:9" ht="28">
      <c r="A11" s="125" t="str">
        <f>B11&amp;C11</f>
        <v>InstructionsA11</v>
      </c>
      <c r="B11" s="125" t="s">
        <v>357</v>
      </c>
      <c r="C11" s="125" t="s">
        <v>395</v>
      </c>
      <c r="D11" s="125" t="s">
        <v>19362</v>
      </c>
      <c r="E11" s="238" t="s">
        <v>391</v>
      </c>
      <c r="F11" s="239" t="s">
        <v>392</v>
      </c>
      <c r="G11" s="125" t="s">
        <v>393</v>
      </c>
      <c r="H11" s="274" t="s">
        <v>394</v>
      </c>
      <c r="I11" s="125" t="s">
        <v>18477</v>
      </c>
    </row>
    <row r="12" spans="1:9" ht="27">
      <c r="A12" s="125" t="str">
        <f t="shared" si="0"/>
        <v>InstructionsA12</v>
      </c>
      <c r="B12" s="125" t="s">
        <v>357</v>
      </c>
      <c r="C12" s="125" t="s">
        <v>400</v>
      </c>
      <c r="D12" s="125" t="s">
        <v>19363</v>
      </c>
      <c r="E12" s="219" t="s">
        <v>396</v>
      </c>
      <c r="F12" s="241" t="s">
        <v>397</v>
      </c>
      <c r="G12" s="125" t="s">
        <v>398</v>
      </c>
      <c r="H12" s="274" t="s">
        <v>399</v>
      </c>
      <c r="I12" s="125" t="s">
        <v>18478</v>
      </c>
    </row>
    <row r="13" spans="1:9" ht="40.5">
      <c r="A13" s="125" t="str">
        <f t="shared" si="0"/>
        <v>InstructionsA13</v>
      </c>
      <c r="B13" s="125" t="s">
        <v>357</v>
      </c>
      <c r="C13" s="125" t="s">
        <v>405</v>
      </c>
      <c r="D13" s="125" t="s">
        <v>19364</v>
      </c>
      <c r="E13" s="238" t="s">
        <v>401</v>
      </c>
      <c r="F13" s="239" t="s">
        <v>402</v>
      </c>
      <c r="G13" s="125" t="s">
        <v>403</v>
      </c>
      <c r="H13" s="274" t="s">
        <v>404</v>
      </c>
      <c r="I13" s="125" t="s">
        <v>18479</v>
      </c>
    </row>
    <row r="14" spans="1:9" ht="67.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1">
      <c r="A16" s="125" t="str">
        <f t="shared" si="0"/>
        <v>InstructionsA16</v>
      </c>
      <c r="B16" s="125" t="s">
        <v>357</v>
      </c>
      <c r="C16" s="125" t="s">
        <v>420</v>
      </c>
      <c r="D16" s="125" t="s">
        <v>19367</v>
      </c>
      <c r="E16" s="238" t="s">
        <v>416</v>
      </c>
      <c r="F16" s="239" t="s">
        <v>417</v>
      </c>
      <c r="G16" s="125" t="s">
        <v>418</v>
      </c>
      <c r="H16" s="274" t="s">
        <v>419</v>
      </c>
      <c r="I16" s="125" t="s">
        <v>18482</v>
      </c>
    </row>
    <row r="17" spans="1:9" ht="27">
      <c r="A17" s="125" t="str">
        <f t="shared" si="0"/>
        <v>InstructionsA17</v>
      </c>
      <c r="B17" s="125" t="s">
        <v>357</v>
      </c>
      <c r="C17" s="125" t="s">
        <v>425</v>
      </c>
      <c r="D17" s="125" t="s">
        <v>19368</v>
      </c>
      <c r="E17" s="219" t="s">
        <v>421</v>
      </c>
      <c r="F17" s="241" t="s">
        <v>422</v>
      </c>
      <c r="G17" s="125" t="s">
        <v>423</v>
      </c>
      <c r="H17" s="274" t="s">
        <v>424</v>
      </c>
      <c r="I17" s="125" t="s">
        <v>18483</v>
      </c>
    </row>
    <row r="18" spans="1:9" ht="67.5">
      <c r="A18" s="125" t="str">
        <f t="shared" si="0"/>
        <v>InstructionsA18</v>
      </c>
      <c r="B18" s="125" t="s">
        <v>357</v>
      </c>
      <c r="C18" s="125" t="s">
        <v>430</v>
      </c>
      <c r="D18" s="125" t="s">
        <v>19369</v>
      </c>
      <c r="E18" s="238" t="s">
        <v>426</v>
      </c>
      <c r="F18" s="239" t="s">
        <v>427</v>
      </c>
      <c r="G18" s="125" t="s">
        <v>428</v>
      </c>
      <c r="H18" s="274" t="s">
        <v>429</v>
      </c>
      <c r="I18" s="125" t="s">
        <v>18484</v>
      </c>
    </row>
    <row r="19" spans="1:9" ht="27">
      <c r="A19" s="125" t="str">
        <f>B19&amp;C19</f>
        <v>InstructionsA19</v>
      </c>
      <c r="B19" s="125" t="s">
        <v>357</v>
      </c>
      <c r="C19" s="125" t="s">
        <v>435</v>
      </c>
      <c r="D19" s="125" t="s">
        <v>19370</v>
      </c>
      <c r="E19" s="125" t="s">
        <v>431</v>
      </c>
      <c r="F19" s="241" t="s">
        <v>432</v>
      </c>
      <c r="G19" s="125" t="s">
        <v>433</v>
      </c>
      <c r="H19" s="274" t="s">
        <v>434</v>
      </c>
      <c r="I19" s="125" t="s">
        <v>18485</v>
      </c>
    </row>
    <row r="20" spans="1:9" ht="40.5">
      <c r="A20" s="125" t="str">
        <f t="shared" si="0"/>
        <v>InstructionsA20</v>
      </c>
      <c r="B20" s="125" t="s">
        <v>357</v>
      </c>
      <c r="C20" s="125" t="s">
        <v>440</v>
      </c>
      <c r="D20" s="125" t="s">
        <v>19371</v>
      </c>
      <c r="E20" s="238" t="s">
        <v>436</v>
      </c>
      <c r="F20" s="239" t="s">
        <v>437</v>
      </c>
      <c r="G20" s="125" t="s">
        <v>438</v>
      </c>
      <c r="H20" s="277" t="s">
        <v>439</v>
      </c>
      <c r="I20" s="125" t="s">
        <v>18486</v>
      </c>
    </row>
    <row r="21" spans="1:9" ht="40.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08">
      <c r="A23" s="125" t="str">
        <f t="shared" si="0"/>
        <v>InstructionsA24</v>
      </c>
      <c r="B23" s="125" t="s">
        <v>357</v>
      </c>
      <c r="C23" s="125" t="s">
        <v>446</v>
      </c>
      <c r="D23" s="125" t="s">
        <v>19407</v>
      </c>
      <c r="E23" s="238" t="s">
        <v>19515</v>
      </c>
      <c r="F23" s="239" t="s">
        <v>19516</v>
      </c>
      <c r="G23" s="240" t="s">
        <v>19517</v>
      </c>
      <c r="H23" s="277" t="s">
        <v>19518</v>
      </c>
      <c r="I23" s="125" t="s">
        <v>19519</v>
      </c>
    </row>
    <row r="24" spans="1:9" ht="30">
      <c r="A24" s="125" t="str">
        <f>B24&amp;C24</f>
        <v>InstructionsA25</v>
      </c>
      <c r="B24" s="125" t="s">
        <v>357</v>
      </c>
      <c r="C24" s="125" t="s">
        <v>452</v>
      </c>
      <c r="D24" s="125" t="s">
        <v>447</v>
      </c>
      <c r="E24" s="238" t="s">
        <v>448</v>
      </c>
      <c r="F24" s="239" t="s">
        <v>449</v>
      </c>
      <c r="G24" s="125" t="s">
        <v>450</v>
      </c>
      <c r="H24" s="277" t="s">
        <v>451</v>
      </c>
      <c r="I24" s="125" t="s">
        <v>18488</v>
      </c>
    </row>
    <row r="25" spans="1:9" ht="81">
      <c r="A25" s="125" t="str">
        <f t="shared" si="0"/>
        <v>InstructionsA26</v>
      </c>
      <c r="B25" s="125" t="s">
        <v>357</v>
      </c>
      <c r="C25" s="125" t="s">
        <v>453</v>
      </c>
      <c r="D25" s="125" t="s">
        <v>19290</v>
      </c>
      <c r="E25" s="238" t="s">
        <v>19520</v>
      </c>
      <c r="F25" s="269" t="s">
        <v>19524</v>
      </c>
      <c r="G25" s="125" t="s">
        <v>19521</v>
      </c>
      <c r="H25" s="274" t="s">
        <v>19522</v>
      </c>
      <c r="I25" s="125" t="s">
        <v>19523</v>
      </c>
    </row>
    <row r="26" spans="1:9" ht="229.5">
      <c r="A26" s="125" t="str">
        <f t="shared" si="0"/>
        <v>InstructionsA27</v>
      </c>
      <c r="B26" s="125" t="s">
        <v>357</v>
      </c>
      <c r="C26" s="125" t="s">
        <v>454</v>
      </c>
      <c r="D26" s="125" t="s">
        <v>19525</v>
      </c>
      <c r="E26" s="242" t="s">
        <v>19526</v>
      </c>
      <c r="F26" s="269" t="s">
        <v>19902</v>
      </c>
      <c r="G26" s="125" t="s">
        <v>19538</v>
      </c>
      <c r="H26" s="274" t="s">
        <v>19527</v>
      </c>
      <c r="I26" s="125" t="s">
        <v>19528</v>
      </c>
    </row>
    <row r="27" spans="1:9" ht="40.5">
      <c r="A27" s="125" t="str">
        <f t="shared" si="0"/>
        <v>InstructionsA28</v>
      </c>
      <c r="B27" s="125" t="s">
        <v>357</v>
      </c>
      <c r="C27" s="125" t="s">
        <v>460</v>
      </c>
      <c r="D27" s="125" t="s">
        <v>455</v>
      </c>
      <c r="E27" s="238" t="s">
        <v>456</v>
      </c>
      <c r="F27" s="239" t="s">
        <v>457</v>
      </c>
      <c r="G27" s="125" t="s">
        <v>458</v>
      </c>
      <c r="H27" s="274" t="s">
        <v>459</v>
      </c>
      <c r="I27" s="125" t="s">
        <v>18489</v>
      </c>
    </row>
    <row r="28" spans="1:9" ht="40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9.5">
      <c r="A30" s="125" t="str">
        <f t="shared" si="2"/>
        <v>InstructionsA31</v>
      </c>
      <c r="B30" s="125" t="s">
        <v>357</v>
      </c>
      <c r="C30" s="125" t="s">
        <v>463</v>
      </c>
      <c r="D30" s="125" t="s">
        <v>19358</v>
      </c>
      <c r="E30" s="378" t="s">
        <v>19906</v>
      </c>
      <c r="F30" s="239" t="s">
        <v>19905</v>
      </c>
      <c r="G30" s="125" t="s">
        <v>19907</v>
      </c>
      <c r="H30" s="274" t="s">
        <v>19908</v>
      </c>
      <c r="I30" s="125" t="s">
        <v>19909</v>
      </c>
    </row>
    <row r="31" spans="1:9" ht="229.5">
      <c r="A31" s="125" t="str">
        <f t="shared" si="2"/>
        <v>InstructionsA32</v>
      </c>
      <c r="B31" s="125" t="s">
        <v>357</v>
      </c>
      <c r="C31" s="125" t="s">
        <v>464</v>
      </c>
      <c r="D31" s="125" t="s">
        <v>19359</v>
      </c>
      <c r="E31" s="125" t="s">
        <v>19911</v>
      </c>
      <c r="F31" s="243" t="s">
        <v>19910</v>
      </c>
      <c r="G31" s="125" t="s">
        <v>19912</v>
      </c>
      <c r="H31" s="274" t="s">
        <v>19913</v>
      </c>
      <c r="I31" s="125" t="s">
        <v>19914</v>
      </c>
    </row>
    <row r="32" spans="1:9" ht="135">
      <c r="A32" s="125" t="str">
        <f t="shared" si="2"/>
        <v>InstructionsA33</v>
      </c>
      <c r="B32" s="125" t="s">
        <v>357</v>
      </c>
      <c r="C32" s="125" t="s">
        <v>465</v>
      </c>
      <c r="D32" s="125" t="s">
        <v>19294</v>
      </c>
      <c r="E32" s="378" t="s">
        <v>19539</v>
      </c>
      <c r="F32" s="243" t="s">
        <v>19915</v>
      </c>
      <c r="G32" s="125" t="s">
        <v>19540</v>
      </c>
      <c r="H32" s="274" t="s">
        <v>19541</v>
      </c>
      <c r="I32" s="125" t="s">
        <v>19542</v>
      </c>
    </row>
    <row r="33" spans="1:9" ht="13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0">
      <c r="A35" s="125" t="str">
        <f t="shared" si="0"/>
        <v>InstructionsA37</v>
      </c>
      <c r="B35" s="125" t="s">
        <v>357</v>
      </c>
      <c r="C35" s="125" t="s">
        <v>467</v>
      </c>
      <c r="D35" s="125" t="s">
        <v>19293</v>
      </c>
      <c r="E35" s="238" t="s">
        <v>19551</v>
      </c>
      <c r="F35" s="239" t="s">
        <v>19918</v>
      </c>
      <c r="G35" s="246" t="s">
        <v>19552</v>
      </c>
      <c r="H35" s="274" t="s">
        <v>19553</v>
      </c>
      <c r="I35" s="125" t="s">
        <v>19554</v>
      </c>
    </row>
    <row r="36" spans="1:9" ht="54">
      <c r="A36" s="125" t="str">
        <f t="shared" si="0"/>
        <v>InstructionsA38</v>
      </c>
      <c r="B36" s="125" t="s">
        <v>357</v>
      </c>
      <c r="C36" s="125" t="s">
        <v>472</v>
      </c>
      <c r="D36" s="125" t="s">
        <v>19296</v>
      </c>
      <c r="E36" s="242" t="s">
        <v>468</v>
      </c>
      <c r="F36" s="269" t="s">
        <v>469</v>
      </c>
      <c r="G36" s="125" t="s">
        <v>470</v>
      </c>
      <c r="H36" s="274" t="s">
        <v>471</v>
      </c>
      <c r="I36" s="125" t="s">
        <v>18490</v>
      </c>
    </row>
    <row r="37" spans="1:9" ht="81">
      <c r="A37" s="125" t="str">
        <f t="shared" si="0"/>
        <v>InstructionsA39</v>
      </c>
      <c r="B37" s="125" t="s">
        <v>357</v>
      </c>
      <c r="C37" s="125" t="s">
        <v>473</v>
      </c>
      <c r="D37" s="125" t="s">
        <v>19297</v>
      </c>
      <c r="E37" s="242" t="s">
        <v>19556</v>
      </c>
      <c r="F37" s="269" t="s">
        <v>19557</v>
      </c>
      <c r="G37" s="125" t="s">
        <v>19559</v>
      </c>
      <c r="H37" s="274" t="s">
        <v>19561</v>
      </c>
      <c r="I37" s="125" t="s">
        <v>19563</v>
      </c>
    </row>
    <row r="38" spans="1:9" ht="108">
      <c r="A38" s="125" t="str">
        <f t="shared" si="0"/>
        <v>InstructionsA40</v>
      </c>
      <c r="B38" s="125" t="s">
        <v>357</v>
      </c>
      <c r="C38" s="125" t="s">
        <v>474</v>
      </c>
      <c r="D38" s="125" t="s">
        <v>19298</v>
      </c>
      <c r="E38" s="378" t="s">
        <v>19555</v>
      </c>
      <c r="F38" s="270" t="s">
        <v>19919</v>
      </c>
      <c r="G38" s="125" t="s">
        <v>19558</v>
      </c>
      <c r="H38" s="274" t="s">
        <v>19560</v>
      </c>
      <c r="I38" s="125" t="s">
        <v>19562</v>
      </c>
    </row>
    <row r="39" spans="1:9" ht="175.5">
      <c r="A39" s="125" t="str">
        <f t="shared" si="0"/>
        <v>InstructionsA41</v>
      </c>
      <c r="B39" s="125" t="s">
        <v>357</v>
      </c>
      <c r="C39" s="125" t="s">
        <v>480</v>
      </c>
      <c r="D39" s="125" t="s">
        <v>475</v>
      </c>
      <c r="E39" s="245" t="s">
        <v>476</v>
      </c>
      <c r="F39" s="271" t="s">
        <v>477</v>
      </c>
      <c r="G39" s="244" t="s">
        <v>478</v>
      </c>
      <c r="H39" s="274" t="s">
        <v>479</v>
      </c>
      <c r="I39" s="125" t="s">
        <v>18491</v>
      </c>
    </row>
    <row r="40" spans="1:9" ht="216">
      <c r="A40" s="125" t="str">
        <f>B40&amp;C40</f>
        <v>InstructionsA42</v>
      </c>
      <c r="B40" s="125" t="s">
        <v>357</v>
      </c>
      <c r="C40" s="125" t="s">
        <v>486</v>
      </c>
      <c r="D40" s="125" t="s">
        <v>481</v>
      </c>
      <c r="E40" s="245" t="s">
        <v>482</v>
      </c>
      <c r="F40" s="271" t="s">
        <v>483</v>
      </c>
      <c r="G40" s="247" t="s">
        <v>484</v>
      </c>
      <c r="H40" s="278" t="s">
        <v>485</v>
      </c>
      <c r="I40" s="125" t="s">
        <v>18492</v>
      </c>
    </row>
    <row r="41" spans="1:9" ht="216">
      <c r="A41" s="125" t="str">
        <f>B41&amp;C41</f>
        <v>InstructionsA43</v>
      </c>
      <c r="B41" s="125" t="s">
        <v>357</v>
      </c>
      <c r="C41" s="125" t="s">
        <v>492</v>
      </c>
      <c r="D41" s="125" t="s">
        <v>487</v>
      </c>
      <c r="E41" s="238" t="s">
        <v>488</v>
      </c>
      <c r="F41" s="269" t="s">
        <v>489</v>
      </c>
      <c r="G41" s="125" t="s">
        <v>490</v>
      </c>
      <c r="H41" s="274" t="s">
        <v>491</v>
      </c>
      <c r="I41" s="125" t="s">
        <v>18493</v>
      </c>
    </row>
    <row r="42" spans="1:9" ht="81">
      <c r="A42" s="125" t="str">
        <f t="shared" si="0"/>
        <v>InstructionsA44</v>
      </c>
      <c r="B42" s="125" t="s">
        <v>357</v>
      </c>
      <c r="C42" s="125" t="s">
        <v>19375</v>
      </c>
      <c r="D42" s="125" t="s">
        <v>493</v>
      </c>
      <c r="E42" s="238" t="s">
        <v>494</v>
      </c>
      <c r="F42" s="269" t="s">
        <v>19565</v>
      </c>
      <c r="G42" s="125" t="s">
        <v>495</v>
      </c>
      <c r="H42" s="274" t="s">
        <v>496</v>
      </c>
      <c r="I42" s="125" t="s">
        <v>18494</v>
      </c>
    </row>
    <row r="43" spans="1:9" ht="67.5">
      <c r="A43" s="125" t="str">
        <f t="shared" si="0"/>
        <v>InstructionsA46</v>
      </c>
      <c r="B43" s="125" t="s">
        <v>357</v>
      </c>
      <c r="C43" s="125" t="s">
        <v>502</v>
      </c>
      <c r="D43" s="125" t="s">
        <v>497</v>
      </c>
      <c r="E43" s="238" t="s">
        <v>498</v>
      </c>
      <c r="F43" s="239" t="s">
        <v>499</v>
      </c>
      <c r="G43" s="125" t="s">
        <v>500</v>
      </c>
      <c r="H43" s="274" t="s">
        <v>501</v>
      </c>
      <c r="I43" s="125" t="s">
        <v>18495</v>
      </c>
    </row>
    <row r="44" spans="1:9" ht="94.5">
      <c r="A44" s="125" t="str">
        <f t="shared" si="0"/>
        <v>InstructionsA47</v>
      </c>
      <c r="B44" s="125" t="s">
        <v>357</v>
      </c>
      <c r="C44" s="125" t="s">
        <v>19376</v>
      </c>
      <c r="D44" s="125" t="s">
        <v>19299</v>
      </c>
      <c r="E44" s="242" t="s">
        <v>503</v>
      </c>
      <c r="F44" s="269" t="s">
        <v>504</v>
      </c>
      <c r="G44" s="246" t="s">
        <v>505</v>
      </c>
      <c r="H44" s="274" t="s">
        <v>506</v>
      </c>
      <c r="I44" s="125" t="s">
        <v>18496</v>
      </c>
    </row>
    <row r="45" spans="1:9" ht="67.5">
      <c r="A45" s="125" t="str">
        <f t="shared" si="0"/>
        <v>InstructionsA48</v>
      </c>
      <c r="B45" s="232" t="s">
        <v>357</v>
      </c>
      <c r="C45" s="125" t="s">
        <v>507</v>
      </c>
      <c r="D45" s="232" t="s">
        <v>508</v>
      </c>
      <c r="E45" s="238" t="s">
        <v>509</v>
      </c>
      <c r="F45" s="239" t="s">
        <v>510</v>
      </c>
      <c r="G45" s="248" t="s">
        <v>511</v>
      </c>
      <c r="H45" s="274" t="s">
        <v>512</v>
      </c>
      <c r="I45" s="125" t="s">
        <v>18497</v>
      </c>
    </row>
    <row r="46" spans="1:9" ht="67.5">
      <c r="A46" s="125" t="str">
        <f>B46&amp;C46</f>
        <v>InstructionsA49</v>
      </c>
      <c r="B46" s="125" t="s">
        <v>357</v>
      </c>
      <c r="C46" s="125" t="s">
        <v>513</v>
      </c>
      <c r="D46" s="125" t="s">
        <v>19422</v>
      </c>
      <c r="E46" s="125" t="s">
        <v>19564</v>
      </c>
      <c r="F46" s="239" t="s">
        <v>19920</v>
      </c>
      <c r="G46" s="125" t="s">
        <v>19566</v>
      </c>
      <c r="H46" s="277" t="s">
        <v>19567</v>
      </c>
      <c r="I46" s="125" t="s">
        <v>19568</v>
      </c>
    </row>
    <row r="47" spans="1:9" ht="135">
      <c r="A47" s="125" t="str">
        <f t="shared" si="0"/>
        <v>InstructionsA50</v>
      </c>
      <c r="B47" s="125" t="s">
        <v>357</v>
      </c>
      <c r="C47" s="125" t="s">
        <v>514</v>
      </c>
      <c r="D47" s="125" t="s">
        <v>515</v>
      </c>
      <c r="E47" s="272" t="s">
        <v>516</v>
      </c>
      <c r="F47" s="269" t="s">
        <v>517</v>
      </c>
      <c r="G47" s="125" t="s">
        <v>518</v>
      </c>
      <c r="H47" s="274" t="s">
        <v>519</v>
      </c>
      <c r="I47" s="125" t="s">
        <v>18498</v>
      </c>
    </row>
    <row r="48" spans="1:9" ht="67.5">
      <c r="A48" s="125" t="str">
        <f t="shared" si="0"/>
        <v>InstructionsA51</v>
      </c>
      <c r="B48" s="125" t="s">
        <v>357</v>
      </c>
      <c r="C48" s="125" t="s">
        <v>520</v>
      </c>
      <c r="D48" s="125" t="s">
        <v>19421</v>
      </c>
      <c r="E48" s="238" t="s">
        <v>521</v>
      </c>
      <c r="F48" s="239" t="s">
        <v>522</v>
      </c>
      <c r="G48" s="125" t="s">
        <v>523</v>
      </c>
      <c r="H48" s="274" t="s">
        <v>524</v>
      </c>
      <c r="I48" s="125" t="s">
        <v>18499</v>
      </c>
    </row>
    <row r="49" spans="1:9" ht="81">
      <c r="A49" s="125" t="str">
        <f t="shared" si="0"/>
        <v>InstructionsA52</v>
      </c>
      <c r="B49" s="125" t="s">
        <v>357</v>
      </c>
      <c r="C49" s="125" t="s">
        <v>525</v>
      </c>
      <c r="D49" s="125" t="s">
        <v>526</v>
      </c>
      <c r="E49" s="238" t="s">
        <v>527</v>
      </c>
      <c r="F49" s="239" t="s">
        <v>528</v>
      </c>
      <c r="G49" s="249" t="s">
        <v>529</v>
      </c>
      <c r="H49" s="274" t="s">
        <v>530</v>
      </c>
      <c r="I49" s="125" t="s">
        <v>18500</v>
      </c>
    </row>
    <row r="50" spans="1:9" ht="108">
      <c r="A50" s="125" t="str">
        <f>B50&amp;C50</f>
        <v>InstructionsA53</v>
      </c>
      <c r="B50" s="125" t="s">
        <v>357</v>
      </c>
      <c r="C50" s="125" t="s">
        <v>531</v>
      </c>
      <c r="D50" s="125" t="s">
        <v>532</v>
      </c>
      <c r="E50" s="238" t="s">
        <v>533</v>
      </c>
      <c r="F50" s="239" t="s">
        <v>534</v>
      </c>
      <c r="G50" s="249" t="s">
        <v>535</v>
      </c>
      <c r="H50" s="277" t="s">
        <v>536</v>
      </c>
      <c r="I50" s="125" t="s">
        <v>18501</v>
      </c>
    </row>
    <row r="51" spans="1:9" ht="67.5">
      <c r="A51" s="125" t="str">
        <f>B51&amp;C51</f>
        <v>InstructionsA54</v>
      </c>
      <c r="B51" s="125" t="s">
        <v>357</v>
      </c>
      <c r="C51" s="125" t="s">
        <v>537</v>
      </c>
      <c r="D51" s="125" t="s">
        <v>538</v>
      </c>
      <c r="E51" s="238" t="s">
        <v>539</v>
      </c>
      <c r="F51" s="239" t="s">
        <v>540</v>
      </c>
      <c r="G51" s="249" t="s">
        <v>541</v>
      </c>
      <c r="H51" s="274" t="s">
        <v>542</v>
      </c>
      <c r="I51" s="125" t="s">
        <v>18502</v>
      </c>
    </row>
    <row r="52" spans="1:9" ht="40.5">
      <c r="A52" s="125" t="str">
        <f t="shared" si="0"/>
        <v>InstructionsA55</v>
      </c>
      <c r="B52" s="125" t="s">
        <v>357</v>
      </c>
      <c r="C52" s="125" t="s">
        <v>543</v>
      </c>
      <c r="D52" s="125" t="s">
        <v>544</v>
      </c>
      <c r="E52" s="238" t="s">
        <v>545</v>
      </c>
      <c r="F52" s="239" t="s">
        <v>546</v>
      </c>
      <c r="G52" s="249" t="s">
        <v>547</v>
      </c>
      <c r="H52" s="274" t="s">
        <v>548</v>
      </c>
      <c r="I52" s="125" t="s">
        <v>18503</v>
      </c>
    </row>
    <row r="53" spans="1:9" ht="40.5">
      <c r="A53" s="125" t="str">
        <f t="shared" si="0"/>
        <v>InstructionsA56</v>
      </c>
      <c r="B53" s="125" t="s">
        <v>357</v>
      </c>
      <c r="C53" s="125" t="s">
        <v>549</v>
      </c>
      <c r="D53" s="125" t="s">
        <v>550</v>
      </c>
      <c r="E53" s="238" t="s">
        <v>551</v>
      </c>
      <c r="F53" s="239" t="s">
        <v>552</v>
      </c>
      <c r="G53" s="125" t="s">
        <v>553</v>
      </c>
      <c r="H53" s="274" t="s">
        <v>554</v>
      </c>
      <c r="I53" s="125" t="s">
        <v>18504</v>
      </c>
    </row>
    <row r="54" spans="1:9" ht="54">
      <c r="A54" s="125" t="str">
        <f t="shared" si="0"/>
        <v>InstructionsA57</v>
      </c>
      <c r="B54" s="125" t="s">
        <v>357</v>
      </c>
      <c r="C54" s="125" t="s">
        <v>555</v>
      </c>
      <c r="D54" s="125" t="s">
        <v>556</v>
      </c>
      <c r="E54" s="238" t="s">
        <v>557</v>
      </c>
      <c r="F54" s="239" t="s">
        <v>558</v>
      </c>
      <c r="G54" s="250" t="s">
        <v>559</v>
      </c>
      <c r="H54" s="274" t="s">
        <v>560</v>
      </c>
      <c r="I54" s="125" t="s">
        <v>18505</v>
      </c>
    </row>
    <row r="55" spans="1:9" ht="297">
      <c r="A55" s="125" t="str">
        <f t="shared" si="0"/>
        <v>InstructionsA58</v>
      </c>
      <c r="B55" s="125" t="s">
        <v>357</v>
      </c>
      <c r="C55" s="125" t="s">
        <v>561</v>
      </c>
      <c r="D55" s="125" t="s">
        <v>562</v>
      </c>
      <c r="E55" s="238" t="s">
        <v>563</v>
      </c>
      <c r="F55" s="239" t="s">
        <v>564</v>
      </c>
      <c r="G55" s="249" t="s">
        <v>565</v>
      </c>
      <c r="H55" s="274" t="s">
        <v>566</v>
      </c>
      <c r="I55" s="125" t="s">
        <v>18512</v>
      </c>
    </row>
    <row r="56" spans="1:9" ht="81">
      <c r="A56" s="125" t="str">
        <f t="shared" si="0"/>
        <v>InstructionsA59</v>
      </c>
      <c r="B56" s="125" t="s">
        <v>357</v>
      </c>
      <c r="C56" s="125" t="s">
        <v>567</v>
      </c>
      <c r="D56" s="125" t="s">
        <v>568</v>
      </c>
      <c r="E56" s="238" t="s">
        <v>569</v>
      </c>
      <c r="F56" s="239" t="s">
        <v>570</v>
      </c>
      <c r="G56" s="125" t="s">
        <v>571</v>
      </c>
      <c r="H56" s="274" t="s">
        <v>572</v>
      </c>
      <c r="I56" s="125" t="s">
        <v>18506</v>
      </c>
    </row>
    <row r="57" spans="1:9" ht="162">
      <c r="A57" s="125" t="str">
        <f t="shared" si="0"/>
        <v>InstructionsA60</v>
      </c>
      <c r="B57" s="125" t="s">
        <v>357</v>
      </c>
      <c r="C57" s="125" t="s">
        <v>573</v>
      </c>
      <c r="D57" s="125" t="s">
        <v>574</v>
      </c>
      <c r="E57" s="238" t="s">
        <v>575</v>
      </c>
      <c r="F57" s="239" t="s">
        <v>576</v>
      </c>
      <c r="G57" s="249" t="s">
        <v>577</v>
      </c>
      <c r="H57" s="274" t="s">
        <v>578</v>
      </c>
      <c r="I57" s="125" t="s">
        <v>18507</v>
      </c>
    </row>
    <row r="58" spans="1:9" ht="175.5">
      <c r="A58" s="125" t="str">
        <f t="shared" si="0"/>
        <v>InstructionsA61</v>
      </c>
      <c r="B58" s="125" t="s">
        <v>357</v>
      </c>
      <c r="C58" s="125" t="s">
        <v>579</v>
      </c>
      <c r="D58" s="125" t="s">
        <v>580</v>
      </c>
      <c r="E58" s="238" t="s">
        <v>581</v>
      </c>
      <c r="F58" s="239" t="s">
        <v>582</v>
      </c>
      <c r="G58" s="249" t="s">
        <v>583</v>
      </c>
      <c r="H58" s="274" t="s">
        <v>584</v>
      </c>
      <c r="I58" s="125" t="s">
        <v>18508</v>
      </c>
    </row>
    <row r="59" spans="1:9" ht="108">
      <c r="A59" s="125" t="str">
        <f>B59&amp;C59</f>
        <v>InstructionsA62</v>
      </c>
      <c r="B59" s="125" t="s">
        <v>357</v>
      </c>
      <c r="C59" s="125" t="s">
        <v>585</v>
      </c>
      <c r="D59" s="125" t="s">
        <v>586</v>
      </c>
      <c r="E59" s="272" t="s">
        <v>587</v>
      </c>
      <c r="F59" s="269" t="s">
        <v>588</v>
      </c>
      <c r="G59" s="249" t="s">
        <v>589</v>
      </c>
      <c r="H59" s="279" t="s">
        <v>590</v>
      </c>
      <c r="I59" s="125" t="s">
        <v>18509</v>
      </c>
    </row>
    <row r="60" spans="1:9" ht="42">
      <c r="A60" s="125" t="str">
        <f t="shared" si="0"/>
        <v>InstructionsA63</v>
      </c>
      <c r="B60" s="125" t="s">
        <v>357</v>
      </c>
      <c r="C60" s="125" t="s">
        <v>591</v>
      </c>
      <c r="D60" s="125" t="s">
        <v>592</v>
      </c>
      <c r="E60" s="238" t="s">
        <v>593</v>
      </c>
      <c r="F60" s="239" t="s">
        <v>594</v>
      </c>
      <c r="G60" s="125" t="s">
        <v>595</v>
      </c>
      <c r="H60" s="274" t="s">
        <v>596</v>
      </c>
      <c r="I60" s="125" t="s">
        <v>18510</v>
      </c>
    </row>
    <row r="61" spans="1:9" ht="27">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7.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4">
      <c r="A63" s="125" t="str">
        <f t="shared" si="4"/>
        <v>InstructionsA67</v>
      </c>
      <c r="B63" s="125" t="s">
        <v>357</v>
      </c>
      <c r="C63" s="125" t="s">
        <v>603</v>
      </c>
      <c r="D63" s="125" t="s">
        <v>19429</v>
      </c>
      <c r="E63" s="238" t="s">
        <v>19430</v>
      </c>
      <c r="F63" s="239" t="s">
        <v>19431</v>
      </c>
      <c r="G63" s="125" t="s">
        <v>19432</v>
      </c>
      <c r="H63" s="274" t="s">
        <v>19433</v>
      </c>
      <c r="I63" s="125" t="s">
        <v>19434</v>
      </c>
    </row>
    <row r="64" spans="1:9" ht="40.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4.5">
      <c r="A65" s="125" t="str">
        <f t="shared" si="5"/>
        <v>InstructionsA69</v>
      </c>
      <c r="B65" s="125" t="s">
        <v>357</v>
      </c>
      <c r="C65" s="125" t="s">
        <v>615</v>
      </c>
      <c r="D65" s="125" t="s">
        <v>19441</v>
      </c>
      <c r="E65" s="238" t="s">
        <v>19442</v>
      </c>
      <c r="F65" s="239" t="s">
        <v>19443</v>
      </c>
      <c r="G65" s="125" t="s">
        <v>19444</v>
      </c>
      <c r="H65" s="274" t="s">
        <v>19445</v>
      </c>
      <c r="I65" s="125" t="s">
        <v>19446</v>
      </c>
    </row>
    <row r="66" spans="1:9" ht="40.5">
      <c r="A66" s="125" t="str">
        <f t="shared" si="5"/>
        <v>InstructionsA70</v>
      </c>
      <c r="B66" s="125" t="s">
        <v>357</v>
      </c>
      <c r="C66" s="125" t="s">
        <v>621</v>
      </c>
      <c r="D66" s="125" t="s">
        <v>19447</v>
      </c>
      <c r="E66" s="238" t="s">
        <v>19448</v>
      </c>
      <c r="F66" s="239" t="s">
        <v>19449</v>
      </c>
      <c r="G66" s="125" t="s">
        <v>19450</v>
      </c>
      <c r="H66" s="274" t="s">
        <v>19451</v>
      </c>
      <c r="I66" s="125" t="s">
        <v>19452</v>
      </c>
    </row>
    <row r="67" spans="1:9" ht="28">
      <c r="A67" s="125" t="str">
        <f t="shared" si="5"/>
        <v>InstructionsA71</v>
      </c>
      <c r="B67" s="125" t="s">
        <v>357</v>
      </c>
      <c r="C67" s="125" t="s">
        <v>627</v>
      </c>
      <c r="D67" s="125" t="s">
        <v>19453</v>
      </c>
      <c r="E67" s="238" t="s">
        <v>19454</v>
      </c>
      <c r="F67" s="239" t="s">
        <v>19455</v>
      </c>
      <c r="G67" s="125" t="s">
        <v>19456</v>
      </c>
      <c r="H67" s="274" t="s">
        <v>19457</v>
      </c>
      <c r="I67" s="125" t="s">
        <v>19458</v>
      </c>
    </row>
    <row r="68" spans="1:9" ht="40.5">
      <c r="A68" s="125" t="str">
        <f t="shared" si="5"/>
        <v>InstructionsA72</v>
      </c>
      <c r="B68" s="125" t="s">
        <v>357</v>
      </c>
      <c r="C68" s="125" t="s">
        <v>633</v>
      </c>
      <c r="D68" s="125" t="s">
        <v>19459</v>
      </c>
      <c r="E68" s="238" t="s">
        <v>19460</v>
      </c>
      <c r="F68" s="239" t="s">
        <v>19461</v>
      </c>
      <c r="G68" s="125" t="s">
        <v>19462</v>
      </c>
      <c r="H68" s="274" t="s">
        <v>19463</v>
      </c>
      <c r="I68" s="125" t="s">
        <v>19464</v>
      </c>
    </row>
    <row r="69" spans="1:9" ht="40.5">
      <c r="A69" s="125" t="str">
        <f t="shared" si="5"/>
        <v>InstructionsA73</v>
      </c>
      <c r="B69" s="125" t="s">
        <v>357</v>
      </c>
      <c r="C69" s="125" t="s">
        <v>639</v>
      </c>
      <c r="D69" s="125" t="s">
        <v>19465</v>
      </c>
      <c r="E69" s="238" t="s">
        <v>19466</v>
      </c>
      <c r="F69" s="239" t="s">
        <v>19467</v>
      </c>
      <c r="G69" s="125" t="s">
        <v>19468</v>
      </c>
      <c r="H69" s="274" t="s">
        <v>19469</v>
      </c>
      <c r="I69" s="125" t="s">
        <v>19470</v>
      </c>
    </row>
    <row r="70" spans="1:9" ht="54">
      <c r="A70" s="125" t="str">
        <f t="shared" si="5"/>
        <v>InstructionsA74</v>
      </c>
      <c r="B70" s="125" t="s">
        <v>357</v>
      </c>
      <c r="C70" s="125" t="s">
        <v>19502</v>
      </c>
      <c r="D70" s="125" t="s">
        <v>19471</v>
      </c>
      <c r="E70" s="238" t="s">
        <v>19472</v>
      </c>
      <c r="F70" s="239" t="s">
        <v>19473</v>
      </c>
      <c r="G70" s="125" t="s">
        <v>19474</v>
      </c>
      <c r="H70" s="274" t="s">
        <v>19475</v>
      </c>
      <c r="I70" s="125" t="s">
        <v>19476</v>
      </c>
    </row>
    <row r="71" spans="1:9" ht="202.5">
      <c r="A71" s="125" t="str">
        <f t="shared" si="5"/>
        <v>InstructionsA75</v>
      </c>
      <c r="B71" s="125" t="s">
        <v>357</v>
      </c>
      <c r="C71" s="125" t="s">
        <v>19503</v>
      </c>
      <c r="D71" s="125" t="s">
        <v>19477</v>
      </c>
      <c r="E71" s="238" t="s">
        <v>19478</v>
      </c>
      <c r="F71" s="239" t="s">
        <v>19479</v>
      </c>
      <c r="G71" s="125" t="s">
        <v>19480</v>
      </c>
      <c r="H71" s="274" t="s">
        <v>19481</v>
      </c>
      <c r="I71" s="125" t="s">
        <v>19482</v>
      </c>
    </row>
    <row r="72" spans="1:9" ht="81">
      <c r="A72" s="125" t="str">
        <f t="shared" si="5"/>
        <v>InstructionsA76</v>
      </c>
      <c r="B72" s="125" t="s">
        <v>357</v>
      </c>
      <c r="C72" s="125" t="s">
        <v>19504</v>
      </c>
      <c r="D72" s="125" t="s">
        <v>19483</v>
      </c>
      <c r="E72" s="238" t="s">
        <v>19484</v>
      </c>
      <c r="F72" s="239" t="s">
        <v>19485</v>
      </c>
      <c r="G72" s="125" t="s">
        <v>19486</v>
      </c>
      <c r="H72" s="274" t="s">
        <v>19487</v>
      </c>
      <c r="I72" s="125" t="s">
        <v>19488</v>
      </c>
    </row>
    <row r="73" spans="1:9" ht="121.5">
      <c r="A73" s="125" t="str">
        <f t="shared" si="5"/>
        <v>InstructionsA77</v>
      </c>
      <c r="B73" s="125" t="s">
        <v>357</v>
      </c>
      <c r="C73" s="125" t="s">
        <v>19505</v>
      </c>
      <c r="D73" s="125" t="s">
        <v>19489</v>
      </c>
      <c r="E73" s="238" t="s">
        <v>19490</v>
      </c>
      <c r="F73" s="239" t="s">
        <v>19491</v>
      </c>
      <c r="G73" s="125" t="s">
        <v>19492</v>
      </c>
      <c r="H73" s="274" t="s">
        <v>19493</v>
      </c>
      <c r="I73" s="125" t="s">
        <v>19494</v>
      </c>
    </row>
    <row r="74" spans="1:9" ht="40.5">
      <c r="A74" s="125" t="str">
        <f t="shared" si="5"/>
        <v>InstructionsA78</v>
      </c>
      <c r="B74" s="125" t="s">
        <v>357</v>
      </c>
      <c r="C74" s="125" t="s">
        <v>19506</v>
      </c>
      <c r="D74" s="125" t="s">
        <v>19495</v>
      </c>
      <c r="E74" s="238" t="s">
        <v>19496</v>
      </c>
      <c r="F74" s="239" t="s">
        <v>19497</v>
      </c>
      <c r="G74" s="125" t="s">
        <v>19498</v>
      </c>
      <c r="H74" s="274" t="s">
        <v>19499</v>
      </c>
      <c r="I74" s="125" t="s">
        <v>19500</v>
      </c>
    </row>
    <row r="75" spans="1:9" ht="175.5">
      <c r="A75" s="125" t="str">
        <f>B75&amp;C75</f>
        <v>InstructionsA80</v>
      </c>
      <c r="B75" s="125" t="s">
        <v>357</v>
      </c>
      <c r="C75" s="125" t="s">
        <v>19507</v>
      </c>
      <c r="D75" s="125" t="s">
        <v>598</v>
      </c>
      <c r="E75" s="238" t="s">
        <v>599</v>
      </c>
      <c r="F75" s="239" t="s">
        <v>600</v>
      </c>
      <c r="G75" s="125" t="s">
        <v>601</v>
      </c>
      <c r="H75" s="277" t="s">
        <v>602</v>
      </c>
      <c r="I75" s="125" t="s">
        <v>18511</v>
      </c>
    </row>
    <row r="76" spans="1:9" ht="28">
      <c r="A76" s="125" t="str">
        <f t="shared" si="0"/>
        <v>InstructionsA82</v>
      </c>
      <c r="B76" s="125" t="s">
        <v>357</v>
      </c>
      <c r="C76" s="125" t="s">
        <v>19508</v>
      </c>
      <c r="D76" s="125" t="s">
        <v>604</v>
      </c>
      <c r="E76" s="238" t="s">
        <v>605</v>
      </c>
      <c r="F76" s="239" t="s">
        <v>606</v>
      </c>
      <c r="G76" s="125" t="s">
        <v>607</v>
      </c>
      <c r="H76" s="277" t="s">
        <v>608</v>
      </c>
      <c r="I76" s="125" t="s">
        <v>18513</v>
      </c>
    </row>
    <row r="77" spans="1:9" ht="270">
      <c r="A77" s="125" t="str">
        <f t="shared" si="0"/>
        <v>InstructionsA83</v>
      </c>
      <c r="B77" s="125" t="s">
        <v>357</v>
      </c>
      <c r="C77" s="125" t="s">
        <v>19509</v>
      </c>
      <c r="D77" s="125" t="s">
        <v>610</v>
      </c>
      <c r="E77" s="238" t="s">
        <v>611</v>
      </c>
      <c r="F77" s="239" t="s">
        <v>612</v>
      </c>
      <c r="G77" s="249" t="s">
        <v>613</v>
      </c>
      <c r="H77" s="274" t="s">
        <v>614</v>
      </c>
      <c r="I77" s="125" t="s">
        <v>18519</v>
      </c>
    </row>
    <row r="78" spans="1:9" ht="148.5">
      <c r="A78" s="125" t="str">
        <f t="shared" si="0"/>
        <v>InstructionsA84</v>
      </c>
      <c r="B78" s="125" t="s">
        <v>357</v>
      </c>
      <c r="C78" s="125" t="s">
        <v>19510</v>
      </c>
      <c r="D78" s="125" t="s">
        <v>616</v>
      </c>
      <c r="E78" s="238" t="s">
        <v>617</v>
      </c>
      <c r="F78" s="239" t="s">
        <v>618</v>
      </c>
      <c r="G78" s="249" t="s">
        <v>619</v>
      </c>
      <c r="H78" s="274" t="s">
        <v>620</v>
      </c>
      <c r="I78" s="125" t="s">
        <v>18514</v>
      </c>
    </row>
    <row r="79" spans="1:9" ht="135">
      <c r="A79" s="125" t="str">
        <f t="shared" si="0"/>
        <v>InstructionsA85</v>
      </c>
      <c r="B79" s="125" t="s">
        <v>357</v>
      </c>
      <c r="C79" s="125" t="s">
        <v>19511</v>
      </c>
      <c r="D79" s="125" t="s">
        <v>622</v>
      </c>
      <c r="E79" s="238" t="s">
        <v>623</v>
      </c>
      <c r="F79" s="239" t="s">
        <v>624</v>
      </c>
      <c r="G79" s="249" t="s">
        <v>625</v>
      </c>
      <c r="H79" s="274" t="s">
        <v>626</v>
      </c>
      <c r="I79" s="125" t="s">
        <v>18515</v>
      </c>
    </row>
    <row r="80" spans="1:9" ht="283.5">
      <c r="A80" s="125" t="str">
        <f t="shared" si="0"/>
        <v>InstructionsA86</v>
      </c>
      <c r="B80" s="125" t="s">
        <v>357</v>
      </c>
      <c r="C80" s="125" t="s">
        <v>19512</v>
      </c>
      <c r="D80" s="125" t="s">
        <v>628</v>
      </c>
      <c r="E80" s="238" t="s">
        <v>629</v>
      </c>
      <c r="F80" s="239" t="s">
        <v>630</v>
      </c>
      <c r="G80" s="249" t="s">
        <v>631</v>
      </c>
      <c r="H80" s="274" t="s">
        <v>632</v>
      </c>
      <c r="I80" s="125" t="s">
        <v>18516</v>
      </c>
    </row>
    <row r="81" spans="1:9" ht="94.5">
      <c r="A81" s="125" t="str">
        <f t="shared" si="0"/>
        <v>InstructionsA87</v>
      </c>
      <c r="B81" s="125" t="s">
        <v>357</v>
      </c>
      <c r="C81" s="125" t="s">
        <v>19513</v>
      </c>
      <c r="D81" s="125" t="s">
        <v>634</v>
      </c>
      <c r="E81" s="238" t="s">
        <v>635</v>
      </c>
      <c r="F81" s="239" t="s">
        <v>636</v>
      </c>
      <c r="G81" s="249" t="s">
        <v>637</v>
      </c>
      <c r="H81" s="274" t="s">
        <v>638</v>
      </c>
      <c r="I81" s="125" t="s">
        <v>18517</v>
      </c>
    </row>
    <row r="82" spans="1:9" ht="40.5">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5">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5">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5">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5">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5">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5">
      <c r="A96" s="125" t="str">
        <f t="shared" si="7"/>
        <v>DefinitionsB15</v>
      </c>
      <c r="B96" s="125" t="s">
        <v>645</v>
      </c>
      <c r="C96" s="125" t="s">
        <v>720</v>
      </c>
      <c r="D96" s="244" t="s">
        <v>698</v>
      </c>
      <c r="E96" s="244" t="s">
        <v>699</v>
      </c>
      <c r="F96" s="252" t="s">
        <v>700</v>
      </c>
      <c r="G96" s="253" t="s">
        <v>701</v>
      </c>
      <c r="H96" s="274" t="s">
        <v>702</v>
      </c>
      <c r="I96" s="187" t="s">
        <v>18533</v>
      </c>
    </row>
    <row r="97" spans="1:9" ht="13.5">
      <c r="A97" s="125" t="str">
        <f t="shared" si="7"/>
        <v>DefinitionsB16</v>
      </c>
      <c r="B97" s="125" t="s">
        <v>645</v>
      </c>
      <c r="C97" s="125" t="s">
        <v>726</v>
      </c>
      <c r="D97" s="244" t="s">
        <v>704</v>
      </c>
      <c r="E97" s="244" t="s">
        <v>705</v>
      </c>
      <c r="F97" s="252" t="s">
        <v>706</v>
      </c>
      <c r="G97" s="254" t="s">
        <v>707</v>
      </c>
      <c r="H97" s="274" t="s">
        <v>18531</v>
      </c>
      <c r="I97" s="187" t="s">
        <v>18534</v>
      </c>
    </row>
    <row r="98" spans="1:9" ht="13.5">
      <c r="A98" s="125" t="str">
        <f t="shared" si="7"/>
        <v>DefinitionsB17</v>
      </c>
      <c r="B98" s="125" t="s">
        <v>645</v>
      </c>
      <c r="C98" s="125" t="s">
        <v>729</v>
      </c>
      <c r="D98" s="244" t="s">
        <v>19887</v>
      </c>
      <c r="E98" s="244" t="s">
        <v>19888</v>
      </c>
      <c r="F98" s="252" t="s">
        <v>19899</v>
      </c>
      <c r="G98" s="254" t="s">
        <v>19889</v>
      </c>
      <c r="H98" s="278" t="s">
        <v>19900</v>
      </c>
      <c r="I98" s="244" t="s">
        <v>19890</v>
      </c>
    </row>
    <row r="99" spans="1:9" ht="13.5">
      <c r="A99" s="125" t="str">
        <f t="shared" si="7"/>
        <v>DefinitionsB18</v>
      </c>
      <c r="B99" s="125" t="s">
        <v>645</v>
      </c>
      <c r="C99" s="125" t="s">
        <v>735</v>
      </c>
      <c r="D99" s="244" t="s">
        <v>19340</v>
      </c>
      <c r="E99" s="244" t="s">
        <v>19586</v>
      </c>
      <c r="F99" s="244" t="s">
        <v>19992</v>
      </c>
      <c r="G99" s="244" t="s">
        <v>19587</v>
      </c>
      <c r="H99" s="244" t="s">
        <v>19588</v>
      </c>
      <c r="I99" s="244" t="s">
        <v>19589</v>
      </c>
    </row>
    <row r="100" spans="1:9" ht="13.5">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0.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1">
      <c r="A111" s="125" t="str">
        <f t="shared" si="7"/>
        <v>DefinitionsC3</v>
      </c>
      <c r="B111" s="125" t="s">
        <v>645</v>
      </c>
      <c r="C111" s="125" t="s">
        <v>765</v>
      </c>
      <c r="D111" s="125" t="s">
        <v>766</v>
      </c>
      <c r="E111" s="238" t="s">
        <v>767</v>
      </c>
      <c r="F111" s="239" t="s">
        <v>768</v>
      </c>
      <c r="G111" s="125" t="s">
        <v>769</v>
      </c>
      <c r="H111" s="274" t="s">
        <v>770</v>
      </c>
      <c r="I111" s="125" t="s">
        <v>18540</v>
      </c>
    </row>
    <row r="112" spans="1:9" ht="54">
      <c r="A112" s="125" t="str">
        <f t="shared" si="7"/>
        <v>DefinitionsC4</v>
      </c>
      <c r="B112" s="125" t="s">
        <v>645</v>
      </c>
      <c r="C112" s="125" t="s">
        <v>771</v>
      </c>
      <c r="D112" s="125" t="s">
        <v>772</v>
      </c>
      <c r="E112" s="242" t="s">
        <v>773</v>
      </c>
      <c r="F112" s="239" t="s">
        <v>774</v>
      </c>
      <c r="G112" s="246" t="s">
        <v>775</v>
      </c>
      <c r="H112" s="274" t="s">
        <v>776</v>
      </c>
      <c r="I112" s="287" t="s">
        <v>18536</v>
      </c>
    </row>
    <row r="113" spans="1:9" ht="175.5">
      <c r="A113" s="125" t="str">
        <f t="shared" si="7"/>
        <v>DefinitionsC5</v>
      </c>
      <c r="B113" s="125" t="s">
        <v>645</v>
      </c>
      <c r="C113" s="125" t="s">
        <v>777</v>
      </c>
      <c r="D113" s="125" t="s">
        <v>778</v>
      </c>
      <c r="E113" s="238" t="s">
        <v>779</v>
      </c>
      <c r="F113" s="239" t="s">
        <v>780</v>
      </c>
      <c r="G113" s="125" t="s">
        <v>781</v>
      </c>
      <c r="H113" s="274" t="s">
        <v>782</v>
      </c>
      <c r="I113" s="125" t="s">
        <v>18541</v>
      </c>
    </row>
    <row r="114" spans="1:9" ht="108">
      <c r="A114" s="125" t="str">
        <f t="shared" si="7"/>
        <v>DefinitionsC6</v>
      </c>
      <c r="B114" s="125" t="s">
        <v>645</v>
      </c>
      <c r="C114" s="125" t="s">
        <v>783</v>
      </c>
      <c r="D114" s="125" t="s">
        <v>19345</v>
      </c>
      <c r="E114" s="238" t="s">
        <v>19377</v>
      </c>
      <c r="F114" s="239" t="s">
        <v>19930</v>
      </c>
      <c r="G114" s="125" t="s">
        <v>19378</v>
      </c>
      <c r="H114" s="274" t="s">
        <v>19379</v>
      </c>
      <c r="I114" s="125" t="s">
        <v>19380</v>
      </c>
    </row>
    <row r="115" spans="1:9" ht="148.5">
      <c r="A115" s="125" t="str">
        <f t="shared" si="7"/>
        <v>DefinitionsC7</v>
      </c>
      <c r="B115" s="125" t="s">
        <v>645</v>
      </c>
      <c r="C115" s="125" t="s">
        <v>789</v>
      </c>
      <c r="D115" s="125" t="s">
        <v>784</v>
      </c>
      <c r="E115" s="238" t="s">
        <v>785</v>
      </c>
      <c r="F115" s="239" t="s">
        <v>786</v>
      </c>
      <c r="G115" s="125" t="s">
        <v>787</v>
      </c>
      <c r="H115" s="274" t="s">
        <v>788</v>
      </c>
      <c r="I115" s="125" t="s">
        <v>18542</v>
      </c>
    </row>
    <row r="116" spans="1:9" ht="124.5">
      <c r="A116" s="125" t="str">
        <f t="shared" si="7"/>
        <v>DefinitionsC8</v>
      </c>
      <c r="B116" s="125" t="s">
        <v>645</v>
      </c>
      <c r="C116" s="125" t="s">
        <v>795</v>
      </c>
      <c r="D116" s="125" t="s">
        <v>790</v>
      </c>
      <c r="E116" s="238" t="s">
        <v>791</v>
      </c>
      <c r="F116" s="239" t="s">
        <v>792</v>
      </c>
      <c r="G116" s="125" t="s">
        <v>793</v>
      </c>
      <c r="H116" s="274" t="s">
        <v>794</v>
      </c>
      <c r="I116" s="125" t="s">
        <v>18545</v>
      </c>
    </row>
    <row r="117" spans="1:9" ht="108">
      <c r="A117" s="125" t="str">
        <f t="shared" si="7"/>
        <v>DefinitionsC9</v>
      </c>
      <c r="B117" s="125" t="s">
        <v>645</v>
      </c>
      <c r="C117" s="125" t="s">
        <v>801</v>
      </c>
      <c r="D117" s="345" t="s">
        <v>19348</v>
      </c>
      <c r="E117" s="242" t="s">
        <v>19389</v>
      </c>
      <c r="F117" s="372" t="s">
        <v>19390</v>
      </c>
      <c r="G117" s="373" t="s">
        <v>19391</v>
      </c>
      <c r="H117" s="274" t="s">
        <v>19392</v>
      </c>
      <c r="I117" s="125" t="s">
        <v>19393</v>
      </c>
    </row>
    <row r="118" spans="1:9" ht="94.5">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1.5">
      <c r="A119" s="125" t="str">
        <f t="shared" si="7"/>
        <v>DefinitionsC11</v>
      </c>
      <c r="B119" s="125" t="s">
        <v>645</v>
      </c>
      <c r="C119" s="125" t="s">
        <v>808</v>
      </c>
      <c r="D119" s="125" t="s">
        <v>796</v>
      </c>
      <c r="E119" s="238" t="s">
        <v>797</v>
      </c>
      <c r="F119" s="239" t="s">
        <v>798</v>
      </c>
      <c r="G119" s="125" t="s">
        <v>799</v>
      </c>
      <c r="H119" s="274" t="s">
        <v>800</v>
      </c>
      <c r="I119" s="125" t="s">
        <v>18544</v>
      </c>
    </row>
    <row r="120" spans="1:9" ht="54">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5">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2.5">
      <c r="A122" s="125" t="str">
        <f t="shared" si="7"/>
        <v>DefinitionsC14</v>
      </c>
      <c r="B122" s="125" t="s">
        <v>645</v>
      </c>
      <c r="C122" s="125" t="s">
        <v>821</v>
      </c>
      <c r="D122" s="125" t="s">
        <v>803</v>
      </c>
      <c r="E122" s="238" t="s">
        <v>804</v>
      </c>
      <c r="F122" s="239" t="s">
        <v>805</v>
      </c>
      <c r="G122" s="125" t="s">
        <v>806</v>
      </c>
      <c r="H122" s="274" t="s">
        <v>807</v>
      </c>
      <c r="I122" s="125" t="s">
        <v>18546</v>
      </c>
    </row>
    <row r="123" spans="1:9" ht="41.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08">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5.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7.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7.5">
      <c r="A130" s="125" t="str">
        <f t="shared" si="7"/>
        <v>DefinitionsC22</v>
      </c>
      <c r="B130" s="125" t="s">
        <v>645</v>
      </c>
      <c r="C130" s="125" t="s">
        <v>19341</v>
      </c>
      <c r="D130" s="125" t="s">
        <v>829</v>
      </c>
      <c r="E130" s="238" t="s">
        <v>830</v>
      </c>
      <c r="F130" s="239" t="s">
        <v>831</v>
      </c>
      <c r="G130" s="125" t="s">
        <v>832</v>
      </c>
      <c r="H130" s="274" t="s">
        <v>833</v>
      </c>
      <c r="I130" s="125" t="s">
        <v>18548</v>
      </c>
    </row>
    <row r="131" spans="1:9" ht="94.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56.5">
      <c r="A132" s="125" t="str">
        <f t="shared" si="7"/>
        <v>DefinitionsC24</v>
      </c>
      <c r="B132" s="125" t="s">
        <v>645</v>
      </c>
      <c r="C132" s="125" t="s">
        <v>19343</v>
      </c>
      <c r="D132" s="125" t="s">
        <v>836</v>
      </c>
      <c r="E132" s="238" t="s">
        <v>837</v>
      </c>
      <c r="F132" s="239" t="s">
        <v>838</v>
      </c>
      <c r="G132" s="125" t="s">
        <v>839</v>
      </c>
      <c r="H132" s="274" t="s">
        <v>840</v>
      </c>
      <c r="I132" s="125" t="s">
        <v>18550</v>
      </c>
    </row>
    <row r="133" spans="1:9" ht="229.5">
      <c r="A133" s="125" t="str">
        <f t="shared" si="7"/>
        <v>DefinitionsC25</v>
      </c>
      <c r="B133" s="125" t="s">
        <v>645</v>
      </c>
      <c r="C133" s="125" t="s">
        <v>19344</v>
      </c>
      <c r="D133" s="125" t="s">
        <v>842</v>
      </c>
      <c r="E133" s="238" t="s">
        <v>843</v>
      </c>
      <c r="F133" s="239" t="s">
        <v>844</v>
      </c>
      <c r="G133" s="246" t="s">
        <v>845</v>
      </c>
      <c r="H133" s="274" t="s">
        <v>846</v>
      </c>
      <c r="I133" s="125" t="s">
        <v>18551</v>
      </c>
    </row>
    <row r="134" spans="1:9" ht="121.5">
      <c r="A134" s="125" t="str">
        <f t="shared" si="7"/>
        <v>DefinitionsC26</v>
      </c>
      <c r="B134" s="125" t="s">
        <v>645</v>
      </c>
      <c r="C134" s="125" t="s">
        <v>19406</v>
      </c>
      <c r="D134" s="244" t="s">
        <v>848</v>
      </c>
      <c r="E134" s="245" t="s">
        <v>849</v>
      </c>
      <c r="F134" s="252" t="s">
        <v>850</v>
      </c>
      <c r="G134" s="253" t="s">
        <v>851</v>
      </c>
      <c r="H134" s="274" t="s">
        <v>852</v>
      </c>
      <c r="I134" s="125" t="s">
        <v>18552</v>
      </c>
    </row>
    <row r="135" spans="1:9" ht="81">
      <c r="A135" s="125" t="str">
        <f t="shared" si="7"/>
        <v>DefinitionsC27</v>
      </c>
      <c r="B135" s="125" t="s">
        <v>645</v>
      </c>
      <c r="C135" s="125" t="s">
        <v>19901</v>
      </c>
      <c r="D135" s="125" t="s">
        <v>854</v>
      </c>
      <c r="E135" s="238" t="s">
        <v>855</v>
      </c>
      <c r="F135" s="239" t="s">
        <v>856</v>
      </c>
      <c r="G135" s="125" t="s">
        <v>857</v>
      </c>
      <c r="H135" s="274" t="s">
        <v>858</v>
      </c>
      <c r="I135" s="125" t="s">
        <v>18553</v>
      </c>
    </row>
    <row r="136" spans="1:9" ht="27">
      <c r="A136" s="125" t="str">
        <f t="shared" si="7"/>
        <v>DeclarationD2</v>
      </c>
      <c r="B136" s="125" t="s">
        <v>859</v>
      </c>
      <c r="C136" s="125" t="s">
        <v>860</v>
      </c>
      <c r="D136" s="244" t="s">
        <v>20141</v>
      </c>
      <c r="E136" s="244" t="s">
        <v>861</v>
      </c>
      <c r="F136" s="251" t="s">
        <v>862</v>
      </c>
      <c r="G136" s="256" t="s">
        <v>863</v>
      </c>
      <c r="H136" s="274" t="s">
        <v>864</v>
      </c>
      <c r="I136" s="187" t="s">
        <v>18555</v>
      </c>
    </row>
    <row r="137" spans="1:9" ht="27">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0.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5">
      <c r="A143" s="125" t="str">
        <f t="shared" si="7"/>
        <v>DeclarationB8</v>
      </c>
      <c r="B143" s="125" t="s">
        <v>859</v>
      </c>
      <c r="C143" s="125" t="s">
        <v>681</v>
      </c>
      <c r="D143" s="125" t="s">
        <v>896</v>
      </c>
      <c r="E143" s="238" t="s">
        <v>897</v>
      </c>
      <c r="F143" s="239" t="s">
        <v>898</v>
      </c>
      <c r="G143" s="125" t="s">
        <v>899</v>
      </c>
      <c r="H143" s="274" t="s">
        <v>900</v>
      </c>
      <c r="I143" s="125" t="s">
        <v>18561</v>
      </c>
    </row>
    <row r="144" spans="1:9" ht="15.5">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
      <c r="A148" s="125" t="str">
        <f t="shared" si="7"/>
        <v>DeclarationB10B</v>
      </c>
      <c r="B148" s="125" t="s">
        <v>859</v>
      </c>
      <c r="C148" s="125" t="s">
        <v>919</v>
      </c>
      <c r="D148" s="125" t="s">
        <v>920</v>
      </c>
      <c r="E148" s="238" t="s">
        <v>921</v>
      </c>
      <c r="F148" s="239" t="s">
        <v>922</v>
      </c>
      <c r="G148" s="125" t="s">
        <v>923</v>
      </c>
      <c r="H148" s="274" t="s">
        <v>924</v>
      </c>
      <c r="I148" s="125" t="s">
        <v>18565</v>
      </c>
    </row>
    <row r="149" spans="1:9" ht="27">
      <c r="A149" s="125" t="str">
        <f t="shared" si="7"/>
        <v>DeclarationD11</v>
      </c>
      <c r="B149" s="125" t="s">
        <v>859</v>
      </c>
      <c r="C149" s="125" t="s">
        <v>925</v>
      </c>
      <c r="D149" s="125" t="s">
        <v>926</v>
      </c>
      <c r="E149" s="238" t="s">
        <v>927</v>
      </c>
      <c r="F149" s="239" t="s">
        <v>928</v>
      </c>
      <c r="G149" s="125" t="s">
        <v>929</v>
      </c>
      <c r="H149" s="274" t="s">
        <v>930</v>
      </c>
      <c r="I149" s="125" t="s">
        <v>18566</v>
      </c>
    </row>
    <row r="150" spans="1:9" ht="40.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4">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
      <c r="A164" s="125" t="str">
        <f t="shared" si="11"/>
        <v>DeclarationB28</v>
      </c>
      <c r="B164" s="125" t="s">
        <v>859</v>
      </c>
      <c r="C164" s="125" t="s">
        <v>18654</v>
      </c>
      <c r="D164" s="125" t="s">
        <v>986</v>
      </c>
      <c r="E164" s="238" t="s">
        <v>987</v>
      </c>
      <c r="F164" s="239" t="s">
        <v>988</v>
      </c>
      <c r="G164" s="125" t="s">
        <v>989</v>
      </c>
      <c r="H164" s="274" t="s">
        <v>990</v>
      </c>
      <c r="I164" s="125" t="s">
        <v>18578</v>
      </c>
    </row>
    <row r="165" spans="1:9" ht="51">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7.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
      <c r="A169" s="125" t="str">
        <f t="shared" si="11"/>
        <v>DeclarationB77</v>
      </c>
      <c r="B169" s="125" t="s">
        <v>859</v>
      </c>
      <c r="C169" s="125" t="s">
        <v>18663</v>
      </c>
      <c r="D169" s="125" t="s">
        <v>991</v>
      </c>
      <c r="E169" s="238" t="s">
        <v>992</v>
      </c>
      <c r="F169" s="269" t="s">
        <v>993</v>
      </c>
      <c r="G169" s="125" t="s">
        <v>994</v>
      </c>
      <c r="H169" s="274" t="s">
        <v>995</v>
      </c>
      <c r="I169" s="125" t="s">
        <v>18638</v>
      </c>
    </row>
    <row r="170" spans="1:9" ht="40.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4">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4">
      <c r="A174" s="125" t="str">
        <f t="shared" si="11"/>
        <v>DeclarationB117</v>
      </c>
      <c r="B174" s="125" t="s">
        <v>859</v>
      </c>
      <c r="C174" s="125" t="s">
        <v>18668</v>
      </c>
      <c r="D174" s="125" t="s">
        <v>1010</v>
      </c>
      <c r="E174" s="238" t="s">
        <v>12222</v>
      </c>
      <c r="F174" s="239" t="s">
        <v>1011</v>
      </c>
      <c r="G174" s="125" t="s">
        <v>1012</v>
      </c>
      <c r="H174" s="274" t="s">
        <v>1013</v>
      </c>
      <c r="I174" s="125" t="s">
        <v>18583</v>
      </c>
    </row>
    <row r="175" spans="1:9" ht="40.5">
      <c r="A175" s="125" t="str">
        <f t="shared" si="11"/>
        <v>Declaration</v>
      </c>
      <c r="B175" s="125" t="s">
        <v>859</v>
      </c>
      <c r="D175" s="125" t="s">
        <v>1014</v>
      </c>
      <c r="E175" s="238" t="s">
        <v>1015</v>
      </c>
      <c r="F175" s="258" t="s">
        <v>1016</v>
      </c>
      <c r="G175" s="125" t="s">
        <v>1017</v>
      </c>
      <c r="H175" s="274" t="s">
        <v>1018</v>
      </c>
      <c r="I175" s="125"/>
    </row>
    <row r="176" spans="1:9" ht="54">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0.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0.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
      <c r="A187" s="125" t="str">
        <f t="shared" si="11"/>
        <v>Smelter Look-up</v>
      </c>
      <c r="B187" s="125" t="s">
        <v>1056</v>
      </c>
      <c r="D187" s="125" t="s">
        <v>1072</v>
      </c>
      <c r="E187" s="379"/>
      <c r="F187" s="239" t="s">
        <v>1073</v>
      </c>
      <c r="G187" s="125" t="s">
        <v>1074</v>
      </c>
      <c r="H187" s="274" t="s">
        <v>1075</v>
      </c>
      <c r="I187" s="187" t="s">
        <v>18597</v>
      </c>
    </row>
    <row r="188" spans="1:9" ht="27">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
      <c r="A189" s="125" t="str">
        <f t="shared" si="11"/>
        <v>Smelter Look-upD4</v>
      </c>
      <c r="B189" s="125" t="s">
        <v>1056</v>
      </c>
      <c r="C189" s="125" t="s">
        <v>1081</v>
      </c>
      <c r="D189" s="125" t="s">
        <v>1082</v>
      </c>
      <c r="E189" s="259"/>
      <c r="F189" s="239" t="s">
        <v>1083</v>
      </c>
      <c r="G189" s="125" t="s">
        <v>1084</v>
      </c>
      <c r="H189" s="274" t="s">
        <v>1085</v>
      </c>
      <c r="I189" s="187" t="s">
        <v>18599</v>
      </c>
    </row>
    <row r="190" spans="1:9" ht="27">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5">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
      <c r="A210" s="125" t="str">
        <f t="shared" si="11"/>
        <v>Smelter ListJ2</v>
      </c>
      <c r="B210" s="125" t="s">
        <v>1115</v>
      </c>
      <c r="C210" s="125" t="s">
        <v>1168</v>
      </c>
      <c r="D210" s="125" t="s">
        <v>1169</v>
      </c>
      <c r="E210" s="238" t="s">
        <v>1170</v>
      </c>
      <c r="F210" s="239" t="s">
        <v>1171</v>
      </c>
      <c r="G210" s="125" t="s">
        <v>1172</v>
      </c>
      <c r="H210" s="274" t="s">
        <v>1173</v>
      </c>
      <c r="I210" s="125" t="s">
        <v>18613</v>
      </c>
    </row>
    <row r="211" spans="1:9" ht="26">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0.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
      <c r="A229" s="125" t="str">
        <f t="shared" si="12"/>
        <v>CheckerJ4</v>
      </c>
      <c r="B229" s="125" t="s">
        <v>1191</v>
      </c>
      <c r="C229" s="125" t="s">
        <v>1130</v>
      </c>
      <c r="D229" s="125" t="s">
        <v>1239</v>
      </c>
      <c r="E229" s="238" t="s">
        <v>1240</v>
      </c>
      <c r="F229" s="239" t="s">
        <v>1241</v>
      </c>
      <c r="G229" s="125" t="s">
        <v>1242</v>
      </c>
      <c r="H229" s="274" t="s">
        <v>1243</v>
      </c>
      <c r="I229" s="125" t="s">
        <v>18625</v>
      </c>
    </row>
    <row r="230" spans="1:9" ht="27">
      <c r="A230" s="125" t="str">
        <f t="shared" si="12"/>
        <v>CheckerJ5</v>
      </c>
      <c r="B230" s="125" t="s">
        <v>1191</v>
      </c>
      <c r="C230" s="125" t="s">
        <v>1244</v>
      </c>
      <c r="D230" s="125" t="s">
        <v>1245</v>
      </c>
      <c r="E230" s="238" t="s">
        <v>1246</v>
      </c>
      <c r="F230" s="239" t="s">
        <v>1247</v>
      </c>
      <c r="G230" s="125" t="s">
        <v>1248</v>
      </c>
      <c r="H230" s="274" t="s">
        <v>1249</v>
      </c>
      <c r="I230" s="125" t="s">
        <v>18626</v>
      </c>
    </row>
    <row r="231" spans="1:9" ht="27">
      <c r="A231" s="125" t="str">
        <f t="shared" si="12"/>
        <v>CheckerJ6</v>
      </c>
      <c r="B231" s="125" t="s">
        <v>1191</v>
      </c>
      <c r="C231" s="125" t="s">
        <v>1250</v>
      </c>
      <c r="D231" s="125" t="s">
        <v>1251</v>
      </c>
      <c r="E231" s="238" t="s">
        <v>1252</v>
      </c>
      <c r="F231" s="239" t="s">
        <v>1253</v>
      </c>
      <c r="G231" s="125" t="s">
        <v>1254</v>
      </c>
      <c r="H231" s="274" t="s">
        <v>1255</v>
      </c>
      <c r="I231" s="125" t="s">
        <v>18627</v>
      </c>
    </row>
    <row r="232" spans="1:9" ht="27">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
      <c r="A234" s="125" t="str">
        <f t="shared" si="12"/>
        <v>CheckerJ9</v>
      </c>
      <c r="B234" s="125" t="s">
        <v>1191</v>
      </c>
      <c r="C234" s="125" t="s">
        <v>1262</v>
      </c>
      <c r="D234" s="125" t="s">
        <v>18959</v>
      </c>
      <c r="E234" s="238" t="s">
        <v>19625</v>
      </c>
      <c r="F234" s="239" t="s">
        <v>19691</v>
      </c>
      <c r="G234" s="125" t="s">
        <v>1257</v>
      </c>
      <c r="H234" s="274" t="s">
        <v>1258</v>
      </c>
      <c r="I234" s="125" t="s">
        <v>18628</v>
      </c>
    </row>
    <row r="235" spans="1:9" ht="28">
      <c r="A235" s="125" t="str">
        <f t="shared" si="12"/>
        <v>CheckerJ10</v>
      </c>
      <c r="B235" s="125" t="s">
        <v>1191</v>
      </c>
      <c r="C235" s="125" t="s">
        <v>1265</v>
      </c>
      <c r="D235" s="125" t="s">
        <v>19074</v>
      </c>
      <c r="E235" s="238" t="s">
        <v>19626</v>
      </c>
      <c r="F235" s="239" t="s">
        <v>19692</v>
      </c>
      <c r="G235" s="125" t="s">
        <v>1260</v>
      </c>
      <c r="H235" s="274" t="s">
        <v>1261</v>
      </c>
      <c r="I235" s="125" t="s">
        <v>18629</v>
      </c>
    </row>
    <row r="236" spans="1:9" ht="27">
      <c r="A236" s="125" t="str">
        <f t="shared" si="12"/>
        <v>CheckerJ11</v>
      </c>
      <c r="B236" s="125" t="s">
        <v>1191</v>
      </c>
      <c r="C236" s="125" t="s">
        <v>1268</v>
      </c>
      <c r="D236" s="125" t="s">
        <v>18960</v>
      </c>
      <c r="E236" s="238" t="s">
        <v>19627</v>
      </c>
      <c r="F236" s="239" t="s">
        <v>19693</v>
      </c>
      <c r="G236" s="125" t="s">
        <v>1263</v>
      </c>
      <c r="H236" s="274" t="s">
        <v>1264</v>
      </c>
      <c r="I236" s="125" t="s">
        <v>18630</v>
      </c>
    </row>
    <row r="237" spans="1:9" ht="40.5">
      <c r="A237" s="125" t="str">
        <f t="shared" si="12"/>
        <v>CheckerJ12</v>
      </c>
      <c r="B237" s="125" t="s">
        <v>1191</v>
      </c>
      <c r="C237" s="125" t="s">
        <v>1271</v>
      </c>
      <c r="D237" s="125" t="s">
        <v>18961</v>
      </c>
      <c r="E237" s="238" t="s">
        <v>19628</v>
      </c>
      <c r="F237" s="239" t="s">
        <v>19694</v>
      </c>
      <c r="G237" s="249" t="s">
        <v>1266</v>
      </c>
      <c r="H237" s="274" t="s">
        <v>1267</v>
      </c>
      <c r="I237" s="125" t="s">
        <v>18631</v>
      </c>
    </row>
    <row r="238" spans="1:9" ht="40.5">
      <c r="A238" s="125" t="str">
        <f t="shared" si="12"/>
        <v>CheckerJ13</v>
      </c>
      <c r="B238" s="125" t="s">
        <v>1191</v>
      </c>
      <c r="C238" s="125" t="s">
        <v>1272</v>
      </c>
      <c r="D238" s="125" t="s">
        <v>18962</v>
      </c>
      <c r="E238" s="238" t="s">
        <v>19630</v>
      </c>
      <c r="F238" s="239" t="s">
        <v>19695</v>
      </c>
      <c r="G238" s="249" t="s">
        <v>1269</v>
      </c>
      <c r="H238" s="274" t="s">
        <v>1270</v>
      </c>
      <c r="I238" s="125" t="s">
        <v>18632</v>
      </c>
    </row>
    <row r="239" spans="1:9" ht="27">
      <c r="A239" s="125" t="str">
        <f t="shared" si="12"/>
        <v>CheckerJ15</v>
      </c>
      <c r="B239" s="125" t="s">
        <v>1191</v>
      </c>
      <c r="C239" s="125" t="s">
        <v>1275</v>
      </c>
      <c r="D239" s="125" t="s">
        <v>18963</v>
      </c>
      <c r="E239" s="238" t="s">
        <v>19629</v>
      </c>
      <c r="F239" s="239" t="s">
        <v>19696</v>
      </c>
      <c r="G239" s="125" t="s">
        <v>1273</v>
      </c>
      <c r="H239" s="274" t="s">
        <v>1274</v>
      </c>
      <c r="I239" s="125" t="s">
        <v>18633</v>
      </c>
    </row>
    <row r="240" spans="1:9" ht="40.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0.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0.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0.5">
      <c r="A243" s="125" t="str">
        <f t="shared" si="12"/>
        <v>CheckerJ20</v>
      </c>
      <c r="B243" s="125" t="s">
        <v>1191</v>
      </c>
      <c r="C243" s="125" t="s">
        <v>1278</v>
      </c>
      <c r="D243" s="244" t="s">
        <v>18970</v>
      </c>
      <c r="E243" s="245" t="s">
        <v>19634</v>
      </c>
      <c r="F243" s="251" t="s">
        <v>19950</v>
      </c>
      <c r="G243" s="95" t="s">
        <v>19717</v>
      </c>
      <c r="H243" s="274" t="s">
        <v>19771</v>
      </c>
      <c r="I243" s="125" t="s">
        <v>19825</v>
      </c>
    </row>
    <row r="244" spans="1:9" ht="40.5">
      <c r="A244" s="125" t="str">
        <f t="shared" si="12"/>
        <v>CheckerJ21</v>
      </c>
      <c r="B244" s="125" t="s">
        <v>1191</v>
      </c>
      <c r="C244" s="125" t="s">
        <v>1279</v>
      </c>
      <c r="D244" s="244" t="s">
        <v>18971</v>
      </c>
      <c r="E244" s="245" t="s">
        <v>19635</v>
      </c>
      <c r="F244" s="251" t="s">
        <v>19951</v>
      </c>
      <c r="G244" s="95" t="s">
        <v>19718</v>
      </c>
      <c r="H244" s="274" t="s">
        <v>19772</v>
      </c>
      <c r="I244" s="125" t="s">
        <v>19826</v>
      </c>
    </row>
    <row r="245" spans="1:9" ht="40.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4">
      <c r="A250" s="125" t="str">
        <f t="shared" si="12"/>
        <v>CheckerJ28</v>
      </c>
      <c r="B250" s="125" t="s">
        <v>1191</v>
      </c>
      <c r="C250" s="125" t="s">
        <v>1283</v>
      </c>
      <c r="D250" s="244" t="s">
        <v>18973</v>
      </c>
      <c r="E250" s="245" t="s">
        <v>19637</v>
      </c>
      <c r="F250" s="251" t="s">
        <v>19953</v>
      </c>
      <c r="G250" s="256" t="s">
        <v>19720</v>
      </c>
      <c r="H250" s="274" t="s">
        <v>19774</v>
      </c>
      <c r="I250" s="125" t="s">
        <v>19828</v>
      </c>
    </row>
    <row r="251" spans="1:9" ht="54">
      <c r="A251" s="125" t="str">
        <f t="shared" si="12"/>
        <v>CheckerJ29</v>
      </c>
      <c r="B251" s="125" t="s">
        <v>1191</v>
      </c>
      <c r="C251" s="125" t="s">
        <v>1284</v>
      </c>
      <c r="D251" s="244" t="s">
        <v>18974</v>
      </c>
      <c r="E251" s="245" t="s">
        <v>19638</v>
      </c>
      <c r="F251" s="251" t="s">
        <v>19954</v>
      </c>
      <c r="G251" s="256" t="s">
        <v>19721</v>
      </c>
      <c r="H251" s="274" t="s">
        <v>19775</v>
      </c>
      <c r="I251" s="125" t="s">
        <v>19829</v>
      </c>
    </row>
    <row r="252" spans="1:9" ht="54">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4">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4">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4">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4">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4">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4">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4">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4">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4">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4">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4">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4">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4">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4">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4">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0.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0.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0.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0.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0.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0.5">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4">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 customHeight="1">
      <c r="A296" s="125" t="str">
        <f t="shared" si="13"/>
        <v>CheckerJ78</v>
      </c>
      <c r="B296" s="125" t="s">
        <v>1191</v>
      </c>
      <c r="C296" s="125" t="s">
        <v>19022</v>
      </c>
      <c r="G296"/>
      <c r="H296" s="274"/>
    </row>
    <row r="297" spans="1:9" ht="52" customHeight="1">
      <c r="A297" s="125" t="str">
        <f t="shared" si="13"/>
        <v>CheckerJ79</v>
      </c>
      <c r="B297" s="125" t="s">
        <v>1191</v>
      </c>
      <c r="C297" s="125" t="s">
        <v>19023</v>
      </c>
      <c r="G297"/>
      <c r="H297" s="274"/>
    </row>
    <row r="298" spans="1:9" ht="52"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0.5">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0.5">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0.5">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0.5">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0.5">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0.5">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1">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7.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7.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7.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7.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7.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7.5">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0.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0.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4">
      <c r="A327" s="125" t="str">
        <f t="shared" si="13"/>
        <v>CheckerJ112</v>
      </c>
      <c r="B327" s="125" t="s">
        <v>1191</v>
      </c>
      <c r="C327" s="125" t="s">
        <v>19064</v>
      </c>
      <c r="D327" s="125" t="s">
        <v>19065</v>
      </c>
      <c r="E327" s="265" t="s">
        <v>19686</v>
      </c>
      <c r="F327" s="239" t="s">
        <v>1285</v>
      </c>
      <c r="G327" s="125" t="s">
        <v>1286</v>
      </c>
      <c r="H327" s="274" t="s">
        <v>1287</v>
      </c>
      <c r="I327" s="125" t="s">
        <v>18634</v>
      </c>
    </row>
    <row r="328" spans="1:9" ht="40.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0.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0.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0.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0.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0.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0.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 customHeight="1">
      <c r="A337" s="125" t="str">
        <f t="shared" si="13"/>
        <v>Checker</v>
      </c>
      <c r="B337" s="125" t="s">
        <v>1191</v>
      </c>
      <c r="D337" s="125" t="s">
        <v>1293</v>
      </c>
      <c r="E337" s="242" t="s">
        <v>1294</v>
      </c>
      <c r="F337" s="239" t="s">
        <v>1295</v>
      </c>
      <c r="G337" s="246" t="s">
        <v>1296</v>
      </c>
      <c r="H337" s="274" t="s">
        <v>1297</v>
      </c>
      <c r="I337" s="125" t="s">
        <v>18637</v>
      </c>
    </row>
    <row r="338" spans="1:9" ht="28">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7">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5">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5">
      <c r="A349" s="345" t="str">
        <f t="shared" si="15"/>
        <v>Mine ListC4</v>
      </c>
      <c r="B349" s="345" t="s">
        <v>19109</v>
      </c>
      <c r="C349" s="345" t="s">
        <v>771</v>
      </c>
      <c r="D349" s="347" t="s">
        <v>19116</v>
      </c>
      <c r="E349" s="346" t="s">
        <v>19117</v>
      </c>
      <c r="F349" s="345" t="s">
        <v>19118</v>
      </c>
      <c r="G349" s="345" t="s">
        <v>19119</v>
      </c>
      <c r="H349" s="345" t="s">
        <v>19120</v>
      </c>
    </row>
    <row r="350" spans="1:9" s="348" customFormat="1" ht="13.5">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5">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5">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5">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48.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5">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5">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1">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7.5">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
      <c r="A369" s="125" t="s">
        <v>1040</v>
      </c>
      <c r="D369" s="125" t="s">
        <v>1331</v>
      </c>
      <c r="E369" s="238" t="s">
        <v>1332</v>
      </c>
      <c r="F369" s="239" t="s">
        <v>1333</v>
      </c>
      <c r="G369" s="126" t="s">
        <v>1334</v>
      </c>
      <c r="H369" s="274" t="s">
        <v>1335</v>
      </c>
    </row>
    <row r="370" spans="1:8" ht="54">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1031ECDA-7F36-4DB0-A286-4FA81256A733}"/>
    </customSheetView>
    <customSheetView guid="{C59130F4-2E03-5E48-94CE-6E4A0484DB9E}" showAutoFilter="1">
      <selection activeCell="E4" sqref="E4"/>
      <pageMargins left="0" right="0" top="0" bottom="0" header="0" footer="0"/>
      <pageSetup paperSize="9" orientation="portrait"/>
      <headerFooter alignWithMargins="0"/>
      <autoFilter ref="B1:N1" xr:uid="{B80B3533-6DFB-453E-8FD3-0B7101C8AF15}"/>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6" customWidth="1"/>
    <col min="2" max="2" width="57" style="56" customWidth="1"/>
    <col min="3" max="16384" width="8.7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oddFooter>&amp;L_x000D_&amp;1#&amp;"Calibri"&amp;10&amp;K000000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23046875" customWidth="1"/>
    <col min="3" max="3" width="15.2304687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78CD6778-9C8F-4D17-A7C0-1AC23AC99E06}"/>
    </customSheetView>
    <customSheetView guid="{C59130F4-2E03-5E48-94CE-6E4A0484DB9E}" showAutoFilter="1">
      <selection activeCell="C1" sqref="C1:D65536"/>
      <pageMargins left="0" right="0" top="0" bottom="0" header="0" footer="0"/>
      <pageSetup orientation="portrait"/>
      <headerFooter alignWithMargins="0"/>
      <autoFilter ref="B1:C1" xr:uid="{FB7973C5-570A-4BC5-8078-10A30CD6A104}"/>
    </customSheetView>
  </customSheetView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 网站：(http://www.responsiblemineralsinitiative.org/)</v>
      </c>
      <c r="B1" s="178"/>
    </row>
    <row r="2" spans="1:2" ht="15">
      <c r="A2" s="93" t="str">
        <f ca="1">OFFSET(L!$C$1,MATCH("Instructions"&amp;ADDRESS(ROW(),COLUMN(),4),L!$A:$A,0)-1,SL,,)</f>
        <v>介绍</v>
      </c>
      <c r="B2" s="178"/>
    </row>
    <row r="3" spans="1:2" ht="168.75" customHeight="1">
      <c r="A3" s="92"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8"/>
    </row>
    <row r="4" spans="1:2" ht="16.5" customHeight="1">
      <c r="A4" s="216"/>
      <c r="B4" s="178"/>
    </row>
    <row r="5" spans="1:2" ht="42" customHeight="1">
      <c r="A5" s="217" t="str">
        <f ca="1">OFFSET(L!$C$1,MATCH("Instructions"&amp;ADDRESS(ROW(),COLUMN(),4),L!$A:$A,0)-1,SL,,)</f>
        <v>公司资料填写说明（第7-26行）。只限英文作答</v>
      </c>
      <c r="B5" s="178"/>
    </row>
    <row r="6" spans="1:2" ht="35.25" customHeight="1">
      <c r="A6" s="93" t="str">
        <f ca="1">OFFSET(L!$C$1,MATCH("Instructions"&amp;ADDRESS(ROW(),COLUMN(),4),L!$A:$A,0)-1,SL,,)</f>
        <v>注：带星号（*）的栏目必须填写</v>
      </c>
      <c r="B6" s="178"/>
    </row>
    <row r="7" spans="1:2" ht="48" customHeight="1">
      <c r="A7" s="195" t="str">
        <f ca="1">OFFSET(L!$C$1,MATCH("Instructions"&amp;ADDRESS(ROW(),COLUMN(),4),L!$A:$A,0)-1,SL,,)</f>
        <v>1. 插入贵公司的法定名称。请不要使用缩写。
在此字段中，您可以选择添加其他商业名称、营业名称等。此栏必须填写。</v>
      </c>
      <c r="B7" s="178"/>
    </row>
    <row r="8" spans="1:2" ht="285">
      <c r="A8" s="195"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8"/>
    </row>
    <row r="9" spans="1:2" ht="60">
      <c r="A9" s="195"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178"/>
    </row>
    <row r="10" spans="1:2" ht="34.5" customHeight="1">
      <c r="A10" s="92" t="str">
        <f ca="1">OFFSET(L!$C$1,MATCH("Instructions"&amp;ADDRESS(ROW(),COLUMN(),4),L!$A:$A,0)-1,SL,,)</f>
        <v>3. 输入贵公司的唯一识别序号或编号
（DUNS号码，VAT号码，客户特定识别码等）</v>
      </c>
      <c r="B10" s="178"/>
    </row>
    <row r="11" spans="1:2" ht="20.25" customHeight="1">
      <c r="A11" s="92" t="str">
        <f ca="1">OFFSET(L!$C$1,MATCH("Instructions"&amp;ADDRESS(ROW(),COLUMN(),4),L!$A:$A,0)-1,SL,,)</f>
        <v>4. 输入唯一识别序号或编号的出处 （如“DUNS”，“VAT”，“客户”等）</v>
      </c>
      <c r="B11" s="178"/>
    </row>
    <row r="12" spans="1:2" ht="20.25" customHeight="1">
      <c r="A12" s="92" t="str">
        <f ca="1">OFFSET(L!$C$1,MATCH("Instructions"&amp;ADDRESS(ROW(),COLUMN(),4),L!$A:$A,0)-1,SL,,)</f>
        <v>5. 插入贵公司的完整地址（街道、城市、州、国家或地区、邮政编码）。此为必填字段。</v>
      </c>
      <c r="B12" s="178"/>
    </row>
    <row r="13" spans="1:2" ht="35.25" customHeight="1">
      <c r="A13" s="92" t="str">
        <f ca="1">OFFSET(L!$C$1,MATCH("Instructions"&amp;ADDRESS(ROW(),COLUMN(),4),L!$A:$A,0)-1,SL,,)</f>
        <v>6. 插入与申报信息内容相关的联系人姓名。
此栏必须填写。</v>
      </c>
      <c r="B13" s="178"/>
    </row>
    <row r="14" spans="1:2" ht="33" customHeight="1">
      <c r="A14" s="92" t="str">
        <f ca="1">OFFSET(L!$C$1,MATCH("Instructions"&amp;ADDRESS(ROW(),COLUMN(),4),L!$A:$A,0)-1,SL,,)</f>
        <v>7. 插入联系人的电子邮件地址。如果没有电子邮件地址，请说明“无”或“不适用”。如留空此字段，会导致此表格出错。此为必填字段。</v>
      </c>
      <c r="B14" s="178"/>
    </row>
    <row r="15" spans="1:2" ht="20.25" customHeight="1">
      <c r="A15" s="92" t="str">
        <f ca="1">OFFSET(L!$C$1,MATCH("Instructions"&amp;ADDRESS(ROW(),COLUMN(),4),L!$A:$A,0)-1,SL,,)</f>
        <v>8. 插入联系人的电话号码。此栏必须填写。</v>
      </c>
      <c r="B15" s="178"/>
    </row>
    <row r="16" spans="1:2" ht="49.5" customHeight="1">
      <c r="A16" s="92" t="str">
        <f ca="1">OFFSET(L!$C$1,MATCH("Instructions"&amp;ADDRESS(ROW(),COLUMN(),4),L!$A:$A,0)-1,SL,,)</f>
        <v>9. 插入负责申报信息内容的人的姓名。
授权人可能是另一人而非联系人。使用“相
同”字眼或类似认定以提供授权人的姓名是不正确的。此栏必须填写。</v>
      </c>
      <c r="B16" s="178"/>
    </row>
    <row r="17" spans="1:2" ht="32.25" customHeight="1">
      <c r="A17" s="92" t="str">
        <f ca="1">OFFSET(L!$C$1,MATCH("Instructions"&amp;ADDRESS(ROW(),COLUMN(),4),L!$A:$A,0)-1,SL,,)</f>
        <v>10. 输入授权人的职位。 此为选填字段。</v>
      </c>
      <c r="B17" s="178"/>
    </row>
    <row r="18" spans="1:2" ht="30">
      <c r="A18" s="92" t="str">
        <f ca="1">OFFSET(L!$C$1,MATCH("Instructions"&amp;ADDRESS(ROW(),COLUMN(),4),L!$A:$A,0)-1,SL,,)</f>
        <v>11. 插入授权人的电子邮件地址。
如果电子邮件地址不可用，说明“不可用”或“n/a”。空白字段可能导致表格填写错误。此栏必须填写。</v>
      </c>
      <c r="B18" s="178"/>
    </row>
    <row r="19" spans="1:2" ht="31.5" customHeight="1">
      <c r="A19" s="92" t="str">
        <f ca="1">OFFSET(L!$C$1,MATCH("Instructions"&amp;ADDRESS(ROW(),COLUMN(),4),L!$A:$A,0)-1,SL,,)</f>
        <v>12. 插入授权人的电话号码。此字段自由选择填写。</v>
      </c>
      <c r="B19" s="178"/>
    </row>
    <row r="20" spans="1:2" ht="35.5" customHeight="1">
      <c r="A20" s="92" t="str">
        <f ca="1">OFFSET(L!$C$1,MATCH("Instructions"&amp;ADDRESS(ROW(),COLUMN(),4),L!$A:$A,0)-1,SL,,)</f>
        <v>13. 请使用以下格式输入表格填写完毕的
日期：年—月—日。此栏必须填写。</v>
      </c>
      <c r="B20" s="178"/>
    </row>
    <row r="21" spans="1:2" ht="40.5" customHeight="1">
      <c r="A21" s="92" t="str">
        <f ca="1">OFFSET(L!$C$1,MATCH("Instructions"&amp;ADDRESS(ROW(),COLUMN(),4),L!$A:$A,0)-1,SL,,)</f>
        <v>14. 申报人应按“公司名-年月日.xlsx”
格式来命名并存档本报告。（日期格式为年-月-日）</v>
      </c>
      <c r="B21" s="178"/>
    </row>
    <row r="22" spans="1:2" ht="17.5" customHeight="1">
      <c r="A22" s="216"/>
      <c r="B22" s="178"/>
    </row>
    <row r="23" spans="1:2" ht="42.75" customHeight="1">
      <c r="A23" s="93" t="str">
        <f ca="1">OFFSET(L!$C$1,MATCH("Instructions"&amp;ADDRESS(ROW(),COLUMN(),4),L!$A:$A,0)-1,SL,,)</f>
        <v>六个申报范围问题的答复说明（第 28 - 107 行）。
仅以英文提供答复</v>
      </c>
      <c r="B23" s="178"/>
    </row>
    <row r="24" spans="1:2" ht="30">
      <c r="A24" s="93"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8"/>
    </row>
    <row r="25" spans="1:2" ht="30.75" customHeight="1">
      <c r="A25" s="93" t="str">
        <f ca="1">OFFSET(L!$C$1,MATCH("Instructions"&amp;ADDRESS(ROW(),COLUMN(),4),L!$A:$A,0)-1,SL,,)</f>
        <v>按要求在备注部分提供备注来进一步说明您的答复。</v>
      </c>
      <c r="B25" s="178"/>
    </row>
    <row r="26" spans="1:2" ht="46.5" customHeight="1">
      <c r="A26" s="93"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8"/>
    </row>
    <row r="27" spans="1:2" ht="105">
      <c r="A27" s="92"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8"/>
    </row>
    <row r="28" spans="1:2" ht="36" customHeight="1">
      <c r="A28" s="92" t="str">
        <f ca="1">OFFSET(L!$C$1,MATCH("Instructions"&amp;ADDRESS(ROW(),COLUMN(),4),L!$A:$A,0)-1,SL,,)</f>
        <v>部分公司可能要求给出“否”答复的证据，这些证据应当输入备注字段。</v>
      </c>
      <c r="B28" s="178"/>
    </row>
    <row r="29" spans="1:2" ht="150">
      <c r="A29" s="92"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8"/>
    </row>
    <row r="30" spans="1:2" ht="90">
      <c r="A30" s="92"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8"/>
    </row>
    <row r="31" spans="1:2" ht="105">
      <c r="A31" s="92"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8"/>
    </row>
    <row r="32" spans="1:2" ht="180">
      <c r="A32" s="92"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8"/>
    </row>
    <row r="33" spans="1:2" ht="45">
      <c r="A33" s="92"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8"/>
    </row>
    <row r="34" spans="1:2" ht="45">
      <c r="A34" s="92"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8"/>
    </row>
    <row r="35" spans="1:2" ht="15">
      <c r="A35" s="226"/>
      <c r="B35" s="178"/>
    </row>
    <row r="36" spans="1:2" ht="68.5" customHeight="1">
      <c r="A36" s="217" t="str">
        <f ca="1">OFFSET(L!$C$1,MATCH("Instructions"&amp;ADDRESS(ROW(),COLUMN(),4),L!$A:$A,0)-1,SL,,)</f>
        <v>问题 A – G 回答说明（113 - 137 行）。如果为指定矿产回答问题 1 和 2 的答复为“是”，则必须回答问题 A 到 G。
仅以英文提供答复。</v>
      </c>
      <c r="B36" s="178"/>
    </row>
    <row r="37" spans="1:2" ht="90">
      <c r="A37" s="217"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8"/>
    </row>
    <row r="38" spans="1:2" ht="30">
      <c r="A38" s="92" t="str">
        <f ca="1">OFFSET(L!$C$1,MATCH("Instructions"&amp;ADDRESS(ROW(),COLUMN(),4),L!$A:$A,0)-1,SL,,)</f>
        <v>A. 此申报是为披露公司是否具有可公开查阅的负责任矿物采购政策。以“是”或“否”来答复此问题。</v>
      </c>
      <c r="B38" s="178"/>
    </row>
    <row r="39" spans="1:2" ht="45">
      <c r="A39" s="92" t="str">
        <f ca="1">OFFSET(L!$C$1,MATCH("Instructions"&amp;ADDRESS(ROW(),COLUMN(),4),L!$A:$A,0)-1,SL,,)</f>
        <v>B. 此申报是为披露公司的负责任矿物采购政策是否可在公司网站上获取。以“是”或“否”来答复此问题。如果答案为“是”，请在备注字段中填写 URL。此字段必须填写。</v>
      </c>
      <c r="B39" s="178"/>
    </row>
    <row r="40" spans="1:2" ht="45">
      <c r="A40" s="92"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8"/>
    </row>
    <row r="41" spans="1:2" ht="90">
      <c r="A41" s="92"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8"/>
    </row>
    <row r="42" spans="1:2" ht="135">
      <c r="A42" s="92"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8"/>
    </row>
    <row r="43" spans="1:2" ht="120">
      <c r="A43" s="92"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8"/>
    </row>
    <row r="44" spans="1:2" ht="30">
      <c r="A44" s="92" t="str">
        <f ca="1">OFFSET(L!$C$1,MATCH("Instructions"&amp;ADDRESS(ROW(),COLUMN(),4),L!$A:$A,0)-1,SL,,)</f>
        <v>G. 此问题是要披露公司的审核流程是否
包括纠正措施管理。以“是”或“否”来答复此问题。须在问题备注字段记录备注。此栏必须填写。</v>
      </c>
      <c r="B44" s="178"/>
    </row>
    <row r="45" spans="1:2" ht="16" customHeight="1">
      <c r="A45" s="216"/>
      <c r="B45" s="178"/>
    </row>
    <row r="46" spans="1:2" ht="60">
      <c r="A46" s="93" t="str">
        <f ca="1">OFFSET(L!$C$1,MATCH("Instructions"&amp;ADDRESS(ROW(),COLUMN(),4),L!$A:$A,0)-1,SL,,)</f>
        <v>冶炼厂名单工作表的填写说明。只限英文作答
注：带星号（*）列表示此区域必须填写。</v>
      </c>
      <c r="B46" s="178"/>
    </row>
    <row r="47" spans="1:2" ht="63.75" customHeight="1">
      <c r="A47" s="93"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8"/>
    </row>
    <row r="48" spans="1:2" ht="52" customHeight="1">
      <c r="A48" s="92" t="str">
        <f ca="1">OFFSET(L!$C$1,MATCH("Instructions"&amp;ADDRESS(ROW(),COLUMN(),4),L!$A:$A,0)-1,SL,,)</f>
        <v>1. 冶炼厂识别输入列－如果您知道冶炼厂
识别号码，则在 A 列输入号码（B、C、D、
E、F、G、I 和 J 列将自动填入）。A 列不会自动填入。</v>
      </c>
      <c r="B48" s="178"/>
    </row>
    <row r="49" spans="1:2" ht="43.5" customHeight="1">
      <c r="A49" s="92" t="str">
        <f ca="1">OFFSET(L!$C$1,MATCH("Instructions"&amp;ADDRESS(ROW(),COLUMN(),4),L!$A:$A,0)-1,SL,,)</f>
        <v>2. 金属（*）- 在下拉菜单中选择
正在录入信息的冶炼厂所提炼的金属。仅当问题 1 和问题 2 中关于指定矿产的回答为“是”时，才会出现金属。此栏必须填写。</v>
      </c>
      <c r="B49" s="178"/>
    </row>
    <row r="50" spans="1:2" ht="60">
      <c r="A50" s="92"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8"/>
    </row>
    <row r="51" spans="1:2" ht="30">
      <c r="A51" s="92" t="str">
        <f ca="1">OFFSET(L!$C$1,MATCH("Instructions"&amp;ADDRESS(ROW(),COLUMN(),4),L!$A:$A,0)-1,SL,,)</f>
        <v>4. 冶炼厂名称 (1)- 如果在 C 列选择了
“冶炼厂未列出”，则填入冶炼厂名称。当在 C 列选择了冶炼厂名称后，
此字段将自动填充。此字段必须填写。</v>
      </c>
      <c r="B51" s="178"/>
    </row>
    <row r="52" spans="1:2" ht="45.75" customHeight="1">
      <c r="A52" s="92" t="str">
        <f ca="1">OFFSET(L!$C$1,MATCH("Instructions"&amp;ADDRESS(ROW(),COLUMN(),4),L!$A:$A,0)-1,SL,,)</f>
        <v>5. 冶炼厂所在国家 (*) - 当在 C 列选择了
冶炼厂名称，此字段将自动填充。如果在 C 列选择了“冶炼厂未列出”，则使用下拉菜单选择冶炼厂的国家位置。此栏必须填写。</v>
      </c>
      <c r="B52" s="178"/>
    </row>
    <row r="53" spans="1:2" ht="45">
      <c r="A53" s="92"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8"/>
    </row>
    <row r="54" spans="1:2" ht="30">
      <c r="A54" s="92" t="str">
        <f ca="1">OFFSET(L!$C$1,MATCH("Instructions"&amp;ADDRESS(ROW(),COLUMN(),4),L!$A:$A,0)-1,SL,,)</f>
        <v xml:space="preserve">7. 冶炼厂识别号码 -  F 列包括所有的
冶炼厂识别号码。如果在 C 列中选出冶炼厂
名称，此栏会自动填入。 </v>
      </c>
      <c r="B54" s="178"/>
    </row>
    <row r="55" spans="1:2" ht="35.5" customHeight="1">
      <c r="A55" s="92" t="str">
        <f ca="1">OFFSET(L!$C$1,MATCH("Instructions"&amp;ADDRESS(ROW(),COLUMN(),4),L!$A:$A,0)-1,SL,,)</f>
        <v>8. 冶炼厂所在街道 - 提供冶炼厂所在街道的名称。</v>
      </c>
      <c r="B55" s="178"/>
    </row>
    <row r="56" spans="1:2" ht="15">
      <c r="A56" s="92" t="str">
        <f ca="1">OFFSET(L!$C$1,MATCH("Instructions"&amp;ADDRESS(ROW(),COLUMN(),4),L!$A:$A,0)-1,SL,,)</f>
        <v>9. 冶炼厂所在城市 - 提供冶炼厂所在城市的名称。</v>
      </c>
      <c r="B56" s="178"/>
    </row>
    <row r="57" spans="1:2" ht="34" customHeight="1">
      <c r="A57" s="92" t="str">
        <f ca="1">OFFSET(L!$C$1,MATCH("Instructions"&amp;ADDRESS(ROW(),COLUMN(),4),L!$A:$A,0)-1,SL,,)</f>
        <v>10. 冶炼厂地点： 州/省（如适用）- 提供冶炼厂所在的州/省。</v>
      </c>
      <c r="B57" s="178"/>
    </row>
    <row r="58" spans="1:2" ht="150">
      <c r="A58" s="92"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8"/>
    </row>
    <row r="59" spans="1:2" ht="30">
      <c r="A59" s="92"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8"/>
    </row>
    <row r="60" spans="1:2" ht="45">
      <c r="A60" s="92"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8"/>
    </row>
    <row r="61" spans="1:2" ht="45">
      <c r="A61" s="92"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8"/>
    </row>
    <row r="62" spans="1:2" ht="100" customHeight="1">
      <c r="A62" s="92" t="str">
        <f ca="1">OFFSET(L!$C$1,MATCH("Instructions"&amp;ADDRESS(ROW(),COLUMN(),4),L!$A:$A,0)-1,SL,,)</f>
        <v>15. 表明冶炼厂是否仅从回收料或报废料资源
中获取冶炼过程的来料。此问题自由选择答
复。本问题的允许答复有：
- 是
- 否
- 不知道</v>
      </c>
      <c r="B62" s="178"/>
    </row>
    <row r="63" spans="1:2" ht="15">
      <c r="A63" s="92" t="str">
        <f ca="1">OFFSET(L!$C$1,MATCH("Instructions"&amp;ADDRESS(ROW(),COLUMN(),4),L!$A:$A,0)-1,SL,,)</f>
        <v>16. 注释 - 用自由的格式的文字栏来输入
任何有关冶炼厂的意见。例如：冶炼厂正在被
YYY公司收购</v>
      </c>
      <c r="B63" s="178"/>
    </row>
    <row r="64" spans="1:2" ht="15">
      <c r="A64" s="216"/>
      <c r="B64" s="178"/>
    </row>
    <row r="65" spans="1:2" ht="30">
      <c r="A65" s="217" t="str">
        <f ca="1">OFFSET(L!$C$1,MATCH("Instructions"&amp;ADDRESS(ROW(),COLUMN(),4),L!$A:$A,0)-1,SL,,)</f>
        <v>矿厂列表选项卡的填写说明。请仅以英文作答。</v>
      </c>
      <c r="B65" s="178"/>
    </row>
    <row r="66" spans="1:2" ht="30">
      <c r="A66" s="92" t="str">
        <f ca="1">OFFSET(L!$C$1,MATCH("Instructions"&amp;ADDRESS(ROW(),COLUMN(),4),L!$A:$A,0)-1,SL,,)</f>
        <v>1. 金属 - 在下拉菜单中，选择正在输入信息的矿厂所提炼的金属。仅当问题 1 和问题 2 中关于指定矿产的回答为“是”时，才会出现金属。</v>
      </c>
      <c r="B66" s="178"/>
    </row>
    <row r="67" spans="1:2" ht="15">
      <c r="A67" s="92" t="str">
        <f ca="1">OFFSET(L!$C$1,MATCH("Instructions"&amp;ADDRESS(ROW(),COLUMN(),4),L!$A:$A,0)-1,SL,,)</f>
        <v>2. 从该矿厂采购的冶炼厂的名称 - 请尽可能填写从所列矿厂或矿场采购的冶炼厂的名称。</v>
      </c>
      <c r="B67" s="178"/>
    </row>
    <row r="68" spans="1:2" ht="15">
      <c r="A68" s="92" t="str">
        <f ca="1">OFFSET(L!$C$1,MATCH("Instructions"&amp;ADDRESS(ROW(),COLUMN(),4),L!$A:$A,0)-1,SL,,)</f>
        <v>3. 矿厂名称 - 提供矿厂的名称。</v>
      </c>
      <c r="B68" s="178"/>
    </row>
    <row r="69" spans="1:2" ht="30">
      <c r="A69" s="92"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8"/>
    </row>
    <row r="70" spans="1:2" ht="15">
      <c r="A70" s="92" t="str">
        <f ca="1">OFFSET(L!$C$1,MATCH("Instructions"&amp;ADDRESS(ROW(),COLUMN(),4),L!$A:$A,0)-1,SL,,)</f>
        <v>5. 矿厂识别号颁发者 - 这是 D 栏中输入的矿厂识别号的颁发者。</v>
      </c>
      <c r="B70" s="178"/>
    </row>
    <row r="71" spans="1:2" ht="15">
      <c r="A71" s="92" t="str">
        <f ca="1">OFFSET(L!$C$1,MATCH("Instructions"&amp;ADDRESS(ROW(),COLUMN(),4),L!$A:$A,0)-1,SL,,)</f>
        <v>6. 矿厂识别号颁发者 - 这是 D 栏中输入的矿厂识别号的颁发者。</v>
      </c>
      <c r="B71" s="178"/>
    </row>
    <row r="72" spans="1:2" ht="15">
      <c r="A72" s="92" t="str">
        <f ca="1">OFFSET(L!$C$1,MATCH("Instructions"&amp;ADDRESS(ROW(),COLUMN(),4),L!$A:$A,0)-1,SL,,)</f>
        <v>7. 矿厂所在街道 - 提供矿厂所在街道的名称。</v>
      </c>
      <c r="B72" s="178"/>
    </row>
    <row r="73" spans="1:2" ht="15">
      <c r="A73" s="92" t="str">
        <f ca="1">OFFSET(L!$C$1,MATCH("Instructions"&amp;ADDRESS(ROW(),COLUMN(),4),L!$A:$A,0)-1,SL,,)</f>
        <v>8. 矿厂所在城市 - 提供矿厂所在城市的名称。</v>
      </c>
      <c r="B73" s="178"/>
    </row>
    <row r="74" spans="1:2" ht="15">
      <c r="A74" s="92" t="str">
        <f ca="1">OFFSET(L!$C$1,MATCH("Instructions"&amp;ADDRESS(ROW(),COLUMN(),4),L!$A:$A,0)-1,SL,,)</f>
        <v>9. 矿厂地点：州/省（如适用）- 提供矿厂所在的州/省。</v>
      </c>
      <c r="B74" s="178"/>
    </row>
    <row r="75" spans="1:2" ht="75">
      <c r="A75" s="92"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8"/>
    </row>
    <row r="76" spans="1:2" ht="30">
      <c r="A76" s="92" t="str">
        <f ca="1">OFFSET(L!$C$1,MATCH("Instructions"&amp;ADDRESS(ROW(),COLUMN(),4),L!$A:$A,0)-1,SL,,)</f>
        <v>11. 矿厂联系人电子邮件 - 填写被确定为矿厂联系人的电子邮件。例如： John.Smith@MineXXX.com。填写此字段栏前，请阅读矿厂联系人姓名填写指引。</v>
      </c>
      <c r="B76" s="178"/>
    </row>
    <row r="77" spans="1:2" ht="45">
      <c r="A77" s="92"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8"/>
    </row>
    <row r="78" spans="1:2" ht="15">
      <c r="A78" s="92" t="str">
        <f ca="1">OFFSET(L!$C$1,MATCH("Instructions"&amp;ADDRESS(ROW(),COLUMN(),4),L!$A:$A,0)-1,SL,,)</f>
        <v>13. 注释 - 无格式限制的文字栏，可输入有关矿厂的任何意见。例如：矿厂正在被 YYY 公司收购</v>
      </c>
      <c r="B78" s="178"/>
    </row>
    <row r="79" spans="1:2" ht="15">
      <c r="A79" s="216"/>
      <c r="B79" s="178"/>
    </row>
    <row r="80" spans="1:2" ht="75">
      <c r="A80" s="217"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8"/>
    </row>
    <row r="81" spans="1:2" ht="15">
      <c r="A81" s="216"/>
      <c r="B81" s="178"/>
    </row>
    <row r="82" spans="1:2" ht="18" customHeight="1">
      <c r="A82" s="93" t="str">
        <f ca="1">OFFSET(L!$C$1,MATCH("Instructions"&amp;ADDRESS(ROW(),COLUMN(),4),L!$A:$A,0)-1,SL,,)</f>
        <v>条款和条件
如有异议，以英文版扩展矿产报告模板为准。</v>
      </c>
      <c r="B82" s="178"/>
    </row>
    <row r="83" spans="1:2" ht="90">
      <c r="A83" s="93"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8"/>
    </row>
    <row r="84" spans="1:2" ht="45">
      <c r="A84" s="93"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8"/>
    </row>
    <row r="85" spans="1:2" ht="45">
      <c r="A85" s="93"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8"/>
    </row>
    <row r="86" spans="1:2" ht="90">
      <c r="A86" s="93"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8"/>
    </row>
    <row r="87" spans="1:2" ht="45">
      <c r="A87" s="93"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8"/>
    </row>
    <row r="88" spans="1:2" ht="15">
      <c r="A88" s="93" t="str">
        <f ca="1">OFFSET(L!$C$1,MATCH("Instructions"&amp;ADDRESS(ROW(),COLUMN(),4),L!$A:$A,0)-1,SL,,)</f>
        <v>访问和使用此目录或任何工具以及考虑此目录和任何工具时，即表示该用户同意上述条款。</v>
      </c>
      <c r="B88" s="178"/>
    </row>
    <row r="89" spans="1:2" ht="15">
      <c r="A89" s="92" t="str">
        <f ca="1">OFFSET(L!$C$1,MATCH("General"&amp;"Cpy",L!$A:$A,0)-1,SL,,)</f>
        <v>© 2025 负责任矿物计划。保留所有权利。</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&amp;L_x000D_&amp;1#&amp;"Calibri"&amp;10&amp;K000000 Internal&amp;C&amp;P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项目</v>
      </c>
      <c r="C2" s="176" t="str">
        <f ca="1">OFFSET(L!$C$1,MATCH("Definitions"&amp;ADDRESS(ROW(),COLUMN(),4),L!$A:$A,0)-1,SL,,)</f>
        <v>定义</v>
      </c>
      <c r="D2" s="398"/>
      <c r="E2" s="177"/>
    </row>
    <row r="3" spans="1:8" ht="30">
      <c r="A3" s="175"/>
      <c r="B3" s="176" t="str">
        <f ca="1">OFFSET(L!$C$1,MATCH("Definitions"&amp;ADDRESS(ROW(),COLUMN(),4),L!$A:$A,0)-1,SL,,)</f>
        <v>授权人</v>
      </c>
      <c r="C3" s="176" t="str">
        <f ca="1">OFFSET(L!$C$1,MATCH("Definitions"&amp;ADDRESS(ROW(),COLUMN(),4),L!$A:$A,0)-1,SL,,)</f>
        <v xml:space="preserve">此栏目定义对申报内容负责的责任人.授权人可能与申报内容责任人不一致，故不能填写“相同一样”, 需提供授权人的姓名。 </v>
      </c>
      <c r="D3" s="398"/>
      <c r="E3" s="178"/>
    </row>
    <row r="4" spans="1:8" ht="60">
      <c r="A4" s="175"/>
      <c r="B4" s="176" t="str">
        <f ca="1">OFFSET(L!$C$1,MATCH("Definitions"&amp;ADDRESS(ROW(),COLUMN(),4),L!$A:$A,0)-1,SL,,)</f>
        <v>钴精炼厂</v>
      </c>
      <c r="C4" s="176" t="str">
        <f ca="1">OFFSET(L!$C$1,MATCH("Definitions"&amp;ADDRESS(ROW(),COLUMN(),4),L!$A:$A,0)-1,SL,,)</f>
        <v>处理钴精矿、中间产品或再循环材料并生产直接用于下游制造工艺的钴产品的实体。</v>
      </c>
      <c r="D4" s="398"/>
      <c r="E4" s="178" t="s">
        <v>13</v>
      </c>
    </row>
    <row r="5" spans="1:8" ht="90">
      <c r="A5" s="175"/>
      <c r="B5" s="176" t="str">
        <f ca="1">OFFSET(L!$C$1,MATCH("Definitions"&amp;ADDRESS(ROW(),COLUMN(),4),L!$A:$A,0)-1,SL,,)</f>
        <v>受冲突影响和高风险地区 (CAHRA)</v>
      </c>
      <c r="C5" s="176"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8"/>
      <c r="E5" s="178"/>
    </row>
    <row r="6" spans="1:8" ht="45">
      <c r="A6" s="175"/>
      <c r="B6" s="176" t="str">
        <f ca="1">OFFSET(L!$C$1,MATCH("Definitions"&amp;ADDRESS(ROW(),COLUMN(),4),L!$A:$A,0)-1,SL,,)</f>
        <v>铜加工厂*</v>
      </c>
      <c r="C6" s="176"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8"/>
      <c r="E6" s="178"/>
    </row>
    <row r="7" spans="1:8" ht="91.5" customHeight="1">
      <c r="A7" s="175"/>
      <c r="B7" s="176" t="str">
        <f ca="1">OFFSET(L!$C$1,MATCH("Definitions"&amp;ADDRESS(ROW(),COLUMN(),4),L!$A:$A,0)-1,SL,,)</f>
        <v>申报范围或类别</v>
      </c>
      <c r="C7" s="176"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8"/>
      <c r="E7" s="178" t="s">
        <v>14</v>
      </c>
    </row>
    <row r="8" spans="1:8" ht="91.5" customHeight="1">
      <c r="A8" s="175"/>
      <c r="B8" s="176" t="str">
        <f ca="1">OFFSET(L!$C$1,MATCH("Definitions"&amp;ADDRESS(ROW(),COLUMN(),4),L!$A:$A,0)-1,SL,,)</f>
        <v>尽职调查</v>
      </c>
      <c r="C8" s="176"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8"/>
      <c r="E8" s="178"/>
    </row>
    <row r="9" spans="1:8" ht="45">
      <c r="A9" s="175"/>
      <c r="B9" s="176" t="str">
        <f ca="1">OFFSET(L!$C$1,MATCH("Definitions"&amp;ADDRESS(ROW(),COLUMN(),4),L!$A:$A,0)-1,SL,,)</f>
        <v>天然石墨*</v>
      </c>
      <c r="C9" s="176"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8"/>
      <c r="E9" s="178" t="s">
        <v>15</v>
      </c>
    </row>
    <row r="10" spans="1:8" ht="75">
      <c r="A10" s="175"/>
      <c r="B10" s="176" t="str">
        <f ca="1">OFFSET(L!$C$1,MATCH("Definitions"&amp;ADDRESS(ROW(),COLUMN(),4),L!$A:$A,0)-1,SL,,)</f>
        <v>石墨生产商*</v>
      </c>
      <c r="C10" s="176" t="str">
        <f ca="1">OFFSET(L!$C$1,MATCH("Definitions"&amp;ADDRESS(ROW(),COLUMN(),4),L!$A:$A,0)-1,SL,,)</f>
        <v>球形石墨生产商（夹点）指通过将天然或合成石墨精矿加工为球形石墨（也称作球化石墨）来生产锂离子电池阳极用高纯度、细颗粒石墨产品（涂层或无涂层）的工厂。</v>
      </c>
      <c r="D10" s="398"/>
      <c r="E10" s="178" t="s">
        <v>16</v>
      </c>
    </row>
    <row r="11" spans="1:8" ht="45">
      <c r="A11" s="175"/>
      <c r="B11" s="176" t="str">
        <f ca="1">OFFSET(L!$C$1,MATCH("Definitions"&amp;ADDRESS(ROW(),COLUMN(),4),L!$A:$A,0)-1,SL,,)</f>
        <v>独立的私营审核机构</v>
      </c>
      <c r="C11" s="176"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8"/>
      <c r="E11" s="178" t="s">
        <v>15</v>
      </c>
      <c r="H11" s="155">
        <v>14</v>
      </c>
    </row>
    <row r="12" spans="1:8" ht="30">
      <c r="A12" s="175"/>
      <c r="B12" s="176" t="str">
        <f ca="1">OFFSET(L!$C$1,MATCH("Definitions"&amp;ADDRESS(ROW(),COLUMN(),4),L!$A:$A,0)-1,SL,,)</f>
        <v>有目的添加</v>
      </c>
      <c r="C12" s="176" t="str">
        <f ca="1">OFFSET(L!$C$1,MATCH("Definitions"&amp;ADDRESS(ROW(),COLUMN(),4),L!$A:$A,0)-1,SL,,)</f>
        <v>“有意添加”通常指故在产品生命周期的一个或多个阶段中使用的旨在赋予特定属性、反应或质量的物质。</v>
      </c>
      <c r="D12" s="398"/>
      <c r="E12" s="178"/>
    </row>
    <row r="13" spans="1:8" ht="60">
      <c r="A13" s="175"/>
      <c r="B13" s="176" t="str">
        <f ca="1">OFFSET(L!$C$1,MATCH("Definitions"&amp;ADDRESS(ROW(),COLUMN(),4),L!$A:$A,0)-1,SL,,)</f>
        <v>锂加工厂*</v>
      </c>
      <c r="C13" s="176"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8"/>
      <c r="E13" s="178"/>
    </row>
    <row r="14" spans="1:8" ht="75">
      <c r="A14" s="175"/>
      <c r="B14" s="176" t="str">
        <f ca="1">OFFSET(L!$C$1,MATCH("Definitions"&amp;ADDRESS(ROW(),COLUMN(),4),L!$A:$A,0)-1,SL,,)</f>
        <v>组织经济合作与发展</v>
      </c>
      <c r="C14" s="176"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8"/>
      <c r="E14" s="178"/>
    </row>
    <row r="15" spans="1:8" ht="15">
      <c r="A15" s="175"/>
      <c r="B15" s="176" t="str">
        <f ca="1">OFFSET(L!$C$1,MATCH("Definitions"&amp;ADDRESS(ROW(),COLUMN(),4),L!$A:$A,0)-1,SL,,)</f>
        <v>云母（天然）</v>
      </c>
      <c r="C15" s="176" t="str">
        <f ca="1">OFFSET(L!$C$1,MATCH("Definitions"&amp;ADDRESS(ROW(),COLUMN(),4),L!$A:$A,0)-1,SL,,)</f>
        <v>天然云母是开采出或自然形成的矿物，如白云母或金云母。</v>
      </c>
      <c r="D15" s="398"/>
      <c r="E15" s="178"/>
    </row>
    <row r="16" spans="1:8" ht="45">
      <c r="A16" s="175"/>
      <c r="B16" s="176" t="str">
        <f ca="1">OFFSET(L!$C$1,MATCH("Definitions"&amp;ADDRESS(ROW(),COLUMN(),4),L!$A:$A,0)-1,SL,,)</f>
        <v>云母（合成）</v>
      </c>
      <c r="C16" s="176" t="str">
        <f ca="1">OFFSET(L!$C$1,MATCH("Definitions"&amp;ADDRESS(ROW(),COLUMN(),4),L!$A:$A,0)-1,SL,,)</f>
        <v>合成云母（氟金云母）是一种人工合成的材料，使用的原料包括镁、铝和硅。</v>
      </c>
      <c r="D16" s="398"/>
      <c r="E16" s="178" t="s">
        <v>15</v>
      </c>
    </row>
    <row r="17" spans="1:5" ht="60">
      <c r="A17" s="175"/>
      <c r="B17" s="176" t="str">
        <f ca="1">OFFSET(L!$C$1,MATCH("Definitions"&amp;ADDRESS(ROW(),COLUMN(),4),L!$A:$A,0)-1,SL,,)</f>
        <v>云母加工厂</v>
      </c>
      <c r="C17" s="176"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8"/>
      <c r="E17" s="178"/>
    </row>
    <row r="18" spans="1:5" ht="60">
      <c r="A18" s="175"/>
      <c r="B18" s="176" t="str">
        <f ca="1">OFFSET(L!$C$1,MATCH("Definitions"&amp;ADDRESS(ROW(),COLUMN(),4),L!$A:$A,0)-1,SL,,)</f>
        <v>镍加工厂*</v>
      </c>
      <c r="C18" s="176"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8"/>
      <c r="E18" s="178"/>
    </row>
    <row r="19" spans="1:5" ht="60">
      <c r="A19" s="175"/>
      <c r="B19" s="176" t="str">
        <f ca="1">OFFSET(L!$C$1,MATCH("Definitions"&amp;ADDRESS(ROW(),COLUMN(),4),L!$A:$A,0)-1,SL,,)</f>
        <v>加工商</v>
      </c>
      <c r="C19" s="176"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398"/>
      <c r="E19" s="178"/>
    </row>
    <row r="20" spans="1:5" ht="30">
      <c r="A20" s="175"/>
      <c r="B20" s="176" t="str">
        <f ca="1">OFFSET(L!$C$1,MATCH("Definitions"&amp;ADDRESS(ROW(),COLUMN(),4),L!$A:$A,0)-1,SL,,)</f>
        <v>产品</v>
      </c>
      <c r="C20" s="176" t="str">
        <f ca="1">OFFSET(L!$C$1,MATCH("Definitions"&amp;ADDRESS(ROW(),COLUMN(),4),L!$A:$A,0)-1,SL,,)</f>
        <v xml:space="preserve">公司的产品或成品是指在制造生产阶段或最后完成阶段的物料或物品，并且已可以交付或销售给客户。 </v>
      </c>
      <c r="D20" s="398"/>
      <c r="E20" s="178"/>
    </row>
    <row r="21" spans="1:5" ht="75">
      <c r="A21" s="175"/>
      <c r="B21" s="176" t="str">
        <f ca="1">OFFSET(L!$C$1,MATCH("Definitions"&amp;ADDRESS(ROW(),COLUMN(),4),L!$A:$A,0)-1,SL,,)</f>
        <v>回收或废料源</v>
      </c>
      <c r="C21" s="176"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398"/>
      <c r="E21" s="178" t="s">
        <v>15</v>
      </c>
    </row>
    <row r="22" spans="1:5" ht="75">
      <c r="A22" s="175"/>
      <c r="B22" s="176" t="str">
        <f ca="1">OFFSET(L!$C$1,MATCH("Definitions"&amp;ADDRESS(ROW(),COLUMN(),4),L!$A:$A,0)-1,SL,,)</f>
        <v>责任商业联盟 (RBA)</v>
      </c>
      <c r="C22" s="176" t="str">
        <f ca="1">OFFSET(L!$C$1,MATCH("Definitions"&amp;ADDRESS(ROW(),COLUMN(),4),L!$A:$A,0)-1,SL,,)</f>
        <v xml:space="preserve">责任商业联盟成立于 2004 年，是全球最大的
致力于在电子行业供应链中倡导企业责任的行业联盟。
(http://www.responsiblebusiness.org)
</v>
      </c>
      <c r="D22" s="398"/>
      <c r="E22" s="178" t="s">
        <v>16</v>
      </c>
    </row>
    <row r="23" spans="1:5" ht="45">
      <c r="A23" s="175"/>
      <c r="B23" s="176" t="str">
        <f ca="1">OFFSET(L!$C$1,MATCH("Definitions"&amp;ADDRESS(ROW(),COLUMN(),4),L!$A:$A,0)-1,SL,,)</f>
        <v>不使用冲突矿产冶炼厂计划（RMAP）</v>
      </c>
      <c r="C23" s="17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8"/>
      <c r="E23" s="178"/>
    </row>
    <row r="24" spans="1:5" ht="90">
      <c r="A24" s="175"/>
      <c r="B24" s="176" t="str">
        <f ca="1">OFFSET(L!$C$1,MATCH("Definitions"&amp;ADDRESS(ROW(),COLUMN(),4),L!$A:$A,0)-1,SL,,)</f>
        <v>负责任矿物计划 (RMI)</v>
      </c>
      <c r="C24" s="176"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8"/>
      <c r="E24" s="178" t="s">
        <v>15</v>
      </c>
    </row>
    <row r="25" spans="1:5" ht="120">
      <c r="A25" s="175"/>
      <c r="B25" s="176" t="str">
        <f ca="1">OFFSET(L!$C$1,MATCH("Definitions"&amp;ADDRESS(ROW(),COLUMN(),4),L!$A:$A,0)-1,SL,,)</f>
        <v>RMAP 合规冶炼厂目录</v>
      </c>
      <c r="C25" s="176"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8"/>
      <c r="E25" s="178" t="s">
        <v>13</v>
      </c>
    </row>
    <row r="26" spans="1:5" ht="60">
      <c r="A26" s="175"/>
      <c r="B26" s="176" t="str">
        <f ca="1">OFFSET(L!$C$1,MATCH("Definitions"&amp;ADDRESS(ROW(),COLUMN(),4),L!$A:$A,0)-1,SL,,)</f>
        <v>冶炼厂</v>
      </c>
      <c r="C26" s="176"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8"/>
      <c r="E26" s="178"/>
    </row>
    <row r="27" spans="1:5" ht="45">
      <c r="A27" s="175"/>
      <c r="B27" s="176" t="str">
        <f ca="1">OFFSET(L!$C$1,MATCH("Definitions"&amp;ADDRESS(ROW(),COLUMN(),4),L!$A:$A,0)-1,SL,,)</f>
        <v>冶炼厂识别序号</v>
      </c>
      <c r="C27" s="176"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8"/>
      <c r="E27" s="178"/>
    </row>
    <row r="28" spans="1:5" ht="15">
      <c r="A28" s="175"/>
      <c r="B28" s="400" t="str">
        <f ca="1">OFFSET(L!$C$1,MATCH("Definitions"&amp;ADDRESS(ROW(),COLUMN(),4),L!$A:$A,0)-1,SL,,)</f>
        <v>* 请查阅 EMRT 填写指南，了解更多关于本矿产主要和次要来源的详情。</v>
      </c>
      <c r="C28" s="400"/>
      <c r="D28" s="398"/>
      <c r="E28" s="178"/>
    </row>
    <row r="29" spans="1:5" ht="15">
      <c r="A29" s="175"/>
      <c r="B29" s="397" t="str">
        <f ca="1">OFFSET(L!$C$1,MATCH("General"&amp;"Cpy",L!$A:$A,0)-1,SL,,)</f>
        <v>© 2025 负责任矿物计划。保留所有权利。</v>
      </c>
      <c r="C29" s="397"/>
      <c r="D29" s="398"/>
      <c r="E29" s="178"/>
    </row>
    <row r="30" spans="1:5" ht="14" thickBot="1">
      <c r="A30" s="179"/>
      <c r="B30" s="180"/>
      <c r="C30" s="180"/>
      <c r="D30" s="399"/>
    </row>
    <row r="31" spans="1:5" ht="14"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扩展矿物报告模版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20161</v>
      </c>
      <c r="E3" s="441"/>
      <c r="F3" s="442"/>
      <c r="G3" s="442"/>
      <c r="H3" s="442"/>
      <c r="I3" s="442"/>
      <c r="J3" s="383" t="s">
        <v>20117</v>
      </c>
      <c r="K3" s="29"/>
      <c r="L3" s="101"/>
      <c r="P3" s="38">
        <f>MATCH($D$3,LN,0)</f>
        <v>2</v>
      </c>
    </row>
    <row r="4" spans="1:34" ht="15">
      <c r="A4" s="27"/>
      <c r="B4" s="416" t="str">
        <f ca="1">OFFSET(L!$C$1,MATCH("Declaration"&amp;ADDRESS(ROW(),COLUMN(),4),L!$A:$A,0)-1,SL,,)</f>
        <v>本文件旨在收集产品中使用的特定原材料（特别是钴或天然云母）的采购信息。</v>
      </c>
      <c r="C4" s="416"/>
      <c r="D4" s="416"/>
      <c r="E4" s="416"/>
      <c r="F4" s="416"/>
      <c r="G4" s="416"/>
      <c r="H4" s="416"/>
      <c r="I4" s="420" t="str">
        <f ca="1">OFFSET(L!$C$1,MATCH("Declaration"&amp;ADDRESS(ROW(),COLUMN(),4),L!$A:$A,0)-1,SL,,)</f>
        <v>链接至条款和条件</v>
      </c>
      <c r="J4" s="420"/>
      <c r="K4" s="29"/>
      <c r="L4" s="103"/>
      <c r="P4" s="2"/>
      <c r="Q4" s="2"/>
      <c r="R4" s="2"/>
      <c r="S4" s="2"/>
      <c r="T4" s="2"/>
      <c r="U4" s="2"/>
      <c r="V4" s="2"/>
      <c r="W4" s="2"/>
      <c r="X4" s="2"/>
      <c r="Y4" s="2"/>
      <c r="Z4" s="2"/>
      <c r="AA4" s="2"/>
      <c r="AB4" s="2"/>
      <c r="AC4" s="2"/>
      <c r="AD4" s="2"/>
      <c r="AE4" s="2"/>
      <c r="AF4" s="2"/>
      <c r="AG4" s="2"/>
      <c r="AH4" s="2"/>
    </row>
    <row r="5" spans="1:34" ht="15">
      <c r="A5" s="124" t="str">
        <f>LEFT(D9,1)</f>
        <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必填字段标记以星号 (*)。参考说明选项卡，获取关于如何答复每个问题的指南。</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公司信息</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公司名称（*）：</v>
      </c>
      <c r="C8" s="65"/>
      <c r="D8" s="410"/>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申报范围或种类 (*):</v>
      </c>
      <c r="C9" s="65"/>
      <c r="D9" s="444"/>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范围描述：</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
      <c r="A12" s="31"/>
      <c r="B12" s="382" t="str">
        <f ca="1">OFFSET(L!$C$1,MATCH("Declaration"&amp;ADDRESS(ROW(),COLUMN(),4),L!$A:$A,0)-1,SL,,)</f>
        <v>选择贵公司的矿产申报范围 (*):</v>
      </c>
      <c r="C12" s="111"/>
      <c r="D12" s="370" t="s">
        <v>40</v>
      </c>
      <c r="E12" s="427" t="s">
        <v>19181</v>
      </c>
      <c r="F12" s="428"/>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注：问题 1 至 7 和 C 会自动填充精选的矿产，将按字母顺序列出。检查你的回复是否与相应的矿物相符。</v>
      </c>
      <c r="C13" s="111"/>
      <c r="D13" s="370" t="s">
        <v>19183</v>
      </c>
      <c r="E13" s="427" t="s">
        <v>19184</v>
      </c>
      <c r="F13" s="428"/>
      <c r="G13" s="370" t="s">
        <v>19185</v>
      </c>
      <c r="H13" s="296"/>
      <c r="I13" s="296"/>
      <c r="J13" s="296"/>
      <c r="K13" s="29"/>
      <c r="L13" s="103"/>
      <c r="P13" s="293" t="str">
        <f>IF(ISBLANK(E12),"",IF(E12="(Delete Copper)",IF(ISBLANK(E14),"",E14),E12))</f>
        <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
      </c>
      <c r="W13" s="294" t="str">
        <f t="shared" ref="W13" si="11">IF(V13="",V13,IF(V12="",V12,IF(V12&gt;V13,V12,V13)))</f>
        <v/>
      </c>
      <c r="X13" s="294" t="str">
        <f t="shared" si="8"/>
        <v/>
      </c>
      <c r="Y13" s="294" t="str">
        <f t="shared" ref="Y13" si="12">IF(X13="",X13,IF(X12="",X12,IF(X12&gt;X13,X12,X13)))</f>
        <v/>
      </c>
      <c r="Z13" s="294" t="str">
        <f t="shared" si="8"/>
        <v/>
      </c>
      <c r="AA13" s="294" t="str" cm="1">
        <f t="array" ref="AA13">_xlfn.IFNA(INDEX($Z$12:$Z$21,MATCH(0,COUNTIF($AA$12:$AA12,$Z$12:$Z$21),0)),"")</f>
        <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
      <c r="A16" s="31"/>
      <c r="B16" s="33" t="str">
        <f ca="1">OFFSET(L!$C$1,MATCH("Declaration"&amp;ADDRESS(ROW(),COLUMN(),4),L!$A:$A,0)-1,SL,,)</f>
        <v xml:space="preserve">公司唯一识别信息： </v>
      </c>
      <c r="C16" s="66"/>
      <c r="D16" s="413"/>
      <c r="E16" s="414"/>
      <c r="F16" s="414"/>
      <c r="G16" s="414"/>
      <c r="H16" s="414"/>
      <c r="I16" s="414"/>
      <c r="J16" s="415"/>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
      <c r="A17" s="31"/>
      <c r="B17" s="33" t="str">
        <f ca="1">OFFSET(L!$C$1,MATCH("Declaration"&amp;ADDRESS(ROW(),COLUMN(),4),L!$A:$A,0)-1,SL,,)</f>
        <v>公司唯一授权识别信息：</v>
      </c>
      <c r="C17" s="66"/>
      <c r="D17" s="413"/>
      <c r="E17" s="414"/>
      <c r="F17" s="414"/>
      <c r="G17" s="414"/>
      <c r="H17" s="414"/>
      <c r="I17" s="414"/>
      <c r="J17" s="415"/>
      <c r="K17" s="29"/>
      <c r="L17" s="103"/>
      <c r="P17" s="293" t="str">
        <f>IF(ISBLANK(D13),"",IF(D13="(Delete Lithium)",IF(ISBLANK(D15),"",D15),D13))</f>
        <v/>
      </c>
      <c r="Q17" s="294" t="str">
        <f t="shared" ref="Q17:Y17" si="19">IF(P17="",P17,IF(P16="",P16,IF(P16&gt;P17,P16,P17)))</f>
        <v/>
      </c>
      <c r="R17" s="294" t="str">
        <f t="shared" ref="R17:Z17" si="20">IF(Q18="",Q17,IF(Q17="",Q18,IF(Q17&gt;Q18,Q18,Q17)))</f>
        <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地址：</v>
      </c>
      <c r="C18" s="66"/>
      <c r="D18" s="413"/>
      <c r="E18" s="414"/>
      <c r="F18" s="414"/>
      <c r="G18" s="414"/>
      <c r="H18" s="414"/>
      <c r="I18" s="414"/>
      <c r="J18" s="415"/>
      <c r="K18" s="29"/>
      <c r="L18" s="103"/>
      <c r="P18" s="293" t="str">
        <f>IF(ISBLANK(E13),"",IF(E13="(Delete Mica)",IF(ISBLANK(E15),"",E15),E13))</f>
        <v/>
      </c>
      <c r="Q18" s="294" t="str">
        <f t="shared" ref="Q18:Y18" si="21">IF(P19="",P18,IF(P18="",P19,IF(P18&gt;P19,P19,P18)))</f>
        <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联系人姓名 (*):</v>
      </c>
      <c r="C19" s="66"/>
      <c r="D19" s="413"/>
      <c r="E19" s="414"/>
      <c r="F19" s="414"/>
      <c r="G19" s="414"/>
      <c r="H19" s="414"/>
      <c r="I19" s="414"/>
      <c r="J19" s="415"/>
      <c r="K19" s="29"/>
      <c r="L19" s="103"/>
      <c r="P19" s="293" t="str">
        <f>IF(ISBLANK(G13),"",IF(G13="(Delete Nickel)",IF(ISBLANK(G15),"",G15),G13))</f>
        <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联系人电邮地址 (*):</v>
      </c>
      <c r="C20" s="66"/>
      <c r="D20" s="433"/>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联系人电话 (*):</v>
      </c>
      <c r="C21" s="66"/>
      <c r="D21" s="413"/>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授权人姓名 (*):</v>
      </c>
      <c r="C22" s="66"/>
      <c r="D22" s="413"/>
      <c r="E22" s="414"/>
      <c r="F22" s="414"/>
      <c r="G22" s="414"/>
      <c r="H22" s="414"/>
      <c r="I22" s="414"/>
      <c r="J22" s="415"/>
      <c r="K22" s="29"/>
      <c r="L22" s="97"/>
      <c r="Q22" s="2"/>
      <c r="R22" s="2"/>
      <c r="S22" s="2"/>
      <c r="T22" s="2"/>
      <c r="U22" s="2"/>
      <c r="V22" s="2"/>
      <c r="W22" s="2"/>
      <c r="X22" s="2"/>
      <c r="Y22" s="2"/>
      <c r="Z22" s="2"/>
      <c r="AA22" s="2">
        <f>10-COUNTIF(AA12:AA21,"")</f>
        <v>1</v>
      </c>
      <c r="AB22" s="2"/>
      <c r="AC22" s="2"/>
      <c r="AD22" s="2"/>
      <c r="AE22" s="2"/>
      <c r="AF22" s="2"/>
      <c r="AG22" s="2"/>
    </row>
    <row r="23" spans="1:33" ht="23">
      <c r="A23" s="31"/>
      <c r="B23" s="33" t="str">
        <f ca="1">OFFSET(L!$C$1,MATCH("Declaration"&amp;ADDRESS(ROW(),COLUMN(),4),L!$A:$A,0)-1,SL,,)</f>
        <v>授权人职务:</v>
      </c>
      <c r="C23" s="66"/>
      <c r="D23" s="413"/>
      <c r="E23" s="414"/>
      <c r="F23" s="414"/>
      <c r="G23" s="414"/>
      <c r="H23" s="414"/>
      <c r="I23" s="414"/>
      <c r="J23" s="415"/>
      <c r="K23" s="29"/>
      <c r="L23" s="97"/>
      <c r="P23" s="2"/>
      <c r="Q23" s="2"/>
      <c r="R23" s="2"/>
      <c r="S23" s="2"/>
      <c r="T23" s="2"/>
      <c r="U23" s="2"/>
      <c r="V23" s="2"/>
      <c r="W23" s="2"/>
      <c r="X23" s="2"/>
      <c r="Y23" s="2"/>
      <c r="Z23" s="2"/>
      <c r="AA23" s="2">
        <f>IF(AA22=0,0.1,AA22)</f>
        <v>1</v>
      </c>
      <c r="AB23" s="2"/>
      <c r="AC23" s="2"/>
      <c r="AD23" s="2"/>
      <c r="AE23" s="2"/>
      <c r="AF23" s="2"/>
      <c r="AG23" s="2"/>
    </row>
    <row r="24" spans="1:33" ht="23">
      <c r="A24" s="31"/>
      <c r="B24" s="33" t="str">
        <f ca="1">OFFSET(L!$C$1,MATCH("Declaration"&amp;ADDRESS(ROW(),COLUMN(),4),L!$A:$A,0)-1,SL,,)</f>
        <v>授权人电邮地址 (*):</v>
      </c>
      <c r="C24" s="66"/>
      <c r="D24" s="433"/>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授权人电话 :</v>
      </c>
      <c r="C25" s="123"/>
      <c r="D25" s="413"/>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授权日期 (*):</v>
      </c>
      <c r="C26" s="67"/>
      <c r="D26" s="439"/>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根据上述指明的申报范围回答下列问题 1 - 7</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是否在产品或生产流程中有意添加或使用任何指定矿产？ (*)</v>
      </c>
      <c r="C29" s="13"/>
      <c r="D29" s="447" t="str">
        <f ca="1">OFFSET(L!$C$1,MATCH("Declaration"&amp;ADDRESS(ROW(),COLUMN(),4),L!$A:$A,0)-1,SL,,)</f>
        <v>回答</v>
      </c>
      <c r="E29" s="447"/>
      <c r="F29" s="14"/>
      <c r="G29" s="37" t="str">
        <f ca="1">OFFSET(L!$C$1,MATCH("Declaration"&amp;ADDRESS(ROW(),COLUMN(),4),L!$A:$A,0)-1,SL,,)</f>
        <v>注释</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
      </c>
      <c r="C31" s="28"/>
      <c r="D31" s="436"/>
      <c r="E31" s="437"/>
      <c r="F31" s="8"/>
      <c r="G31" s="401"/>
      <c r="H31" s="402"/>
      <c r="I31" s="402"/>
      <c r="J31" s="403"/>
      <c r="K31" s="29"/>
      <c r="L31" s="104"/>
      <c r="M31">
        <f t="shared" ref="M31:M39" si="33">IF(AND(B31="",D31&lt;&gt;""),1,0)</f>
        <v>0</v>
      </c>
      <c r="O31" s="38" t="str">
        <f t="shared" ref="O31:O39" si="34">IF(B31="","","(*)")</f>
        <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
      </c>
      <c r="C32" s="28"/>
      <c r="D32" s="436"/>
      <c r="E32" s="437"/>
      <c r="F32" s="8"/>
      <c r="G32" s="401"/>
      <c r="H32" s="402"/>
      <c r="I32" s="402"/>
      <c r="J32" s="403"/>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
      </c>
      <c r="C33" s="28"/>
      <c r="D33" s="436"/>
      <c r="E33" s="437"/>
      <c r="F33" s="8"/>
      <c r="G33" s="401"/>
      <c r="H33" s="402"/>
      <c r="I33" s="402"/>
      <c r="J33" s="403"/>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
      </c>
      <c r="C34" s="28"/>
      <c r="D34" s="436"/>
      <c r="E34" s="437"/>
      <c r="F34" s="8"/>
      <c r="G34" s="401"/>
      <c r="H34" s="402"/>
      <c r="I34" s="402"/>
      <c r="J34" s="403"/>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36"/>
      <c r="E35" s="437"/>
      <c r="F35" s="8"/>
      <c r="G35" s="401"/>
      <c r="H35" s="402"/>
      <c r="I35" s="402"/>
      <c r="J35" s="403"/>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产品中是否还存有任何指定矿产？ (*)(*)</v>
      </c>
      <c r="C41" s="13"/>
      <c r="D41" s="438" t="str">
        <f ca="1">D29</f>
        <v>回答</v>
      </c>
      <c r="E41" s="438"/>
      <c r="F41" s="14"/>
      <c r="G41" s="37" t="str">
        <f ca="1">G29</f>
        <v>注释</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
      </c>
      <c r="C43" s="28"/>
      <c r="D43" s="436"/>
      <c r="E43" s="437"/>
      <c r="F43" s="8"/>
      <c r="G43" s="401"/>
      <c r="H43" s="402"/>
      <c r="I43" s="402"/>
      <c r="J43" s="403"/>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36"/>
      <c r="E47" s="437"/>
      <c r="F47" s="8"/>
      <c r="G47" s="401"/>
      <c r="H47" s="402"/>
      <c r="I47" s="402"/>
      <c r="J47" s="403"/>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8" t="str">
        <f ca="1">D29</f>
        <v>回答</v>
      </c>
      <c r="E53" s="438"/>
      <c r="F53" s="14"/>
      <c r="G53" s="37" t="str">
        <f ca="1">G29</f>
        <v>注释</v>
      </c>
      <c r="H53" s="443"/>
      <c r="I53" s="443"/>
      <c r="J53" s="443"/>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
      </c>
      <c r="C55" s="6"/>
      <c r="D55" s="436"/>
      <c r="E55" s="437"/>
      <c r="F55" s="40"/>
      <c r="G55" s="401"/>
      <c r="H55" s="402"/>
      <c r="I55" s="402"/>
      <c r="J55" s="403"/>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36"/>
      <c r="E59" s="437"/>
      <c r="F59" s="40"/>
      <c r="G59" s="401"/>
      <c r="H59" s="402"/>
      <c r="I59" s="402"/>
      <c r="J59" s="403"/>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是否 100% 的指定矿产来自回收料或
报废料资源？ (*)</v>
      </c>
      <c r="C65" s="6"/>
      <c r="D65" s="438" t="str">
        <f ca="1">D29</f>
        <v>回答</v>
      </c>
      <c r="E65" s="438"/>
      <c r="F65" s="14"/>
      <c r="G65" s="37" t="str">
        <f ca="1">G29</f>
        <v>注释</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
      </c>
      <c r="C67" s="6"/>
      <c r="D67" s="436"/>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36"/>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百分之多少的相关供应商已对贵公司
的供应链调查提供答复？(*)</v>
      </c>
      <c r="C77" s="6"/>
      <c r="D77" s="438" t="str">
        <f ca="1">D29</f>
        <v>回答</v>
      </c>
      <c r="E77" s="438"/>
      <c r="F77" s="14"/>
      <c r="G77" s="37" t="str">
        <f ca="1">G29</f>
        <v>注释</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
      </c>
      <c r="C79" s="28"/>
      <c r="D79" s="436"/>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36"/>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您是否识别出为贵公司的供应链供应指定矿产的所有冶炼厂或加工厂？(*)</v>
      </c>
      <c r="C89" s="6"/>
      <c r="D89" s="438" t="str">
        <f ca="1">D29</f>
        <v>回答</v>
      </c>
      <c r="E89" s="438"/>
      <c r="F89" s="14"/>
      <c r="G89" s="37" t="str">
        <f ca="1">G29</f>
        <v>注释</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
      </c>
      <c r="C91" s="6"/>
      <c r="D91" s="436"/>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36"/>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贵公司收到的所有适用冶炼厂或加工厂信息是否已在此申报中报告？(*)</v>
      </c>
      <c r="C101" s="6"/>
      <c r="D101" s="438" t="str">
        <f ca="1">D29</f>
        <v>回答</v>
      </c>
      <c r="E101" s="438"/>
      <c r="F101" s="14"/>
      <c r="G101" s="37" t="str">
        <f ca="1">G29</f>
        <v>注释</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
      </c>
      <c r="C103" s="28"/>
      <c r="D103" s="436"/>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36"/>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从公司层面来回答以下问题</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问题</v>
      </c>
      <c r="C114" s="70"/>
      <c r="D114" s="447" t="str">
        <f ca="1">D29</f>
        <v>回答</v>
      </c>
      <c r="E114" s="447"/>
      <c r="F114" s="46"/>
      <c r="G114" s="447" t="str">
        <f ca="1">G29</f>
        <v>注释</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贵公司是否制定了可公开查阅的矿产采购政策？(*)</v>
      </c>
      <c r="C115" s="49"/>
      <c r="D115" s="436"/>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贵公司的负责任矿产采购政策是否公开发布于贵公司网页上？（备注 - 如果是，请在注释字段中注明 URL。）(*)</v>
      </c>
      <c r="C117" s="49"/>
      <c r="D117" s="436"/>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贵公司是否要求贵公司的直接供应商从尽职调查实践经独立第三方审计计划验证过的冶炼厂采购指定矿产？(*)</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
      </c>
      <c r="C121" s="292"/>
      <c r="D121" s="436"/>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36"/>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贵公司是否已实施负责任矿产采购的尽职调查措施？(*)</v>
      </c>
      <c r="C131" s="49"/>
      <c r="D131" s="436"/>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贵公司是否针对相关供应商进行指定矿产供应链调查？(*)</v>
      </c>
      <c r="C133" s="49"/>
      <c r="D133" s="461"/>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贵公司是否会根据预期审核从供应商处收到的尽职调查信息？(*)</v>
      </c>
      <c r="C135" s="49"/>
      <c r="D135" s="436"/>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贵公司的审核流程是否包括纠错行动管理？ 
(*)</v>
      </c>
      <c r="C137" s="49"/>
      <c r="D137" s="436"/>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2025 负责任矿物计划。保留所有权利。</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18682</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18958</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18683</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19180</v>
      </c>
    </row>
    <row r="176" spans="2:3" ht="17.5" hidden="1" customHeight="1">
      <c r="B176" s="171" t="s">
        <v>18684</v>
      </c>
      <c r="C176" t="s">
        <v>19181</v>
      </c>
    </row>
    <row r="177" spans="2:3" ht="17.5" hidden="1" customHeight="1">
      <c r="B177" s="171" t="s">
        <v>18686</v>
      </c>
      <c r="C177" t="s">
        <v>19182</v>
      </c>
    </row>
    <row r="178" spans="2:3" ht="17.5" hidden="1" customHeight="1">
      <c r="B178" s="171" t="s">
        <v>18687</v>
      </c>
      <c r="C178" t="s">
        <v>19183</v>
      </c>
    </row>
    <row r="179" spans="2:3" ht="17.5" hidden="1" customHeight="1">
      <c r="B179" s="171" t="s">
        <v>41</v>
      </c>
      <c r="C179" t="s">
        <v>19184</v>
      </c>
    </row>
    <row r="180" spans="2:3" ht="17.5" hidden="1" customHeight="1">
      <c r="B180" s="171" t="s">
        <v>18685</v>
      </c>
      <c r="C180" t="s">
        <v>19185</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18688</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oddFooter>&amp;L_x000D_&amp;1#&amp;"Calibri"&amp;10&amp;K000000 Internal</oddFoot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首先：</v>
      </c>
      <c r="C2" s="141"/>
      <c r="D2" s="141"/>
      <c r="E2" s="141"/>
      <c r="F2" s="160"/>
      <c r="G2" s="160"/>
      <c r="H2" s="160"/>
      <c r="I2" s="282"/>
      <c r="J2" s="464" t="str">
        <f ca="1">OFFSET(L!$C$1,MATCH("Smelter List"&amp;ADDRESS(ROW(),COLUMN(),4),L!$A:$A,0)-1,SL,,)</f>
        <v>链接至“RMAP 合规冶炼厂目录”</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6"/>
      <c r="D3" s="466"/>
      <c r="E3" s="466"/>
      <c r="F3" s="164"/>
      <c r="G3" s="467" t="str">
        <f ca="1">OFFSET(L!$C$1,MATCH("General"&amp;"Cpy",L!$A:$A,0)-1,SL,,)</f>
        <v>© 2025 负责任矿物计划。保留所有权利。</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冶炼厂识别号码输入列</v>
      </c>
      <c r="B4" s="127" t="str">
        <f ca="1">OFFSET(L!$C$1,MATCH("Smelter List"&amp;ADDRESS(ROW(),COLUMN(),4),L!$A:$A,0)-1,SL,,)</f>
        <v>金属 (*)</v>
      </c>
      <c r="C4" s="127" t="str">
        <f ca="1">OFFSET(L!$C$1,MATCH("Smelter List"&amp;ADDRESS(ROW(),COLUMN(),4),L!$A:$A,0)-1,SL,,)</f>
        <v>冶炼厂查找 (*)</v>
      </c>
      <c r="D4" s="127" t="str">
        <f ca="1">OFFSET(L!$C$1,MATCH("Smelter List"&amp;ADDRESS(ROW(),COLUMN(),4),L!$A:$A,0)-1,SL,,)</f>
        <v>冶炼厂名称 (*)</v>
      </c>
      <c r="E4" s="127" t="str">
        <f ca="1">OFFSET(L!$C$1,MATCH("Smelter List"&amp;ADDRESS(ROW(),COLUMN(),4),L!$A:$A,0)-1,SL,,)</f>
        <v>冶炼工厂地址（国家） (*)</v>
      </c>
      <c r="F4" s="127" t="str">
        <f ca="1">OFFSET(L!$C$1,MATCH("Smelter List"&amp;ADDRESS(ROW(),COLUMN(),4),L!$A:$A,0)-1,SL,,)</f>
        <v>冶炼厂识别</v>
      </c>
      <c r="G4" s="127" t="str">
        <f ca="1">OFFSET(L!$C$1,MATCH("Smelter List"&amp;ADDRESS(ROW(),COLUMN(),4),L!$A:$A,0)-1,SL,,)</f>
        <v>冶炼厂出处识别号</v>
      </c>
      <c r="H4" s="128" t="str">
        <f ca="1">OFFSET(L!$C$1,MATCH("Smelter List"&amp;ADDRESS(ROW(),COLUMN(),4),L!$A:$A,0)-1,SL,,)</f>
        <v>冶炼工厂地址（街道）</v>
      </c>
      <c r="I4" s="128" t="str">
        <f ca="1">OFFSET(L!$C$1,MATCH("Smelter List"&amp;ADDRESS(ROW(),COLUMN(),4),L!$A:$A,0)-1,SL,,)</f>
        <v>冶炼工厂地址（城市）</v>
      </c>
      <c r="J4" s="128" t="str">
        <f ca="1">OFFSET(L!$C$1,MATCH("Smelter List"&amp;ADDRESS(ROW(),COLUMN(),4),L!$A:$A,0)-1,SL,,)</f>
        <v>冶炼工厂地址（州/省）</v>
      </c>
      <c r="K4" s="128" t="str">
        <f ca="1">OFFSET(L!$C$1,MATCH("Smelter List"&amp;ADDRESS(ROW(),COLUMN(),4),L!$A:$A,0)-1,SL,,)</f>
        <v>冶炼厂联系名称</v>
      </c>
      <c r="L4" s="128" t="str">
        <f ca="1">OFFSET(L!$C$1,MATCH("Smelter List"&amp;ADDRESS(ROW(),COLUMN(),4),L!$A:$A,0)-1,SL,,)</f>
        <v>冶炼厂联系电邮地址</v>
      </c>
      <c r="M4" s="128" t="str">
        <f ca="1">OFFSET(L!$C$1,MATCH("Smelter List"&amp;ADDRESS(ROW(),COLUMN(),4),L!$A:$A,0)-1,SL,,)</f>
        <v>建议的后续步骤</v>
      </c>
      <c r="N4" s="128" t="str">
        <f ca="1">OFFSET(L!$C$1,MATCH("Smelter List"&amp;ADDRESS(ROW(),COLUMN(),4),L!$A:$A,0)-1,SL,,)</f>
        <v>填所有矿井名称，或如所用矿产来自回收料和报废料时请填“回收”或“报废”。</v>
      </c>
      <c r="O4" s="128" t="str">
        <f ca="1">OFFSET(L!$C$1,MATCH("Smelter List"&amp;ADDRESS(ROW(),COLUMN(),4),L!$A:$A,0)-1,SL,,)</f>
        <v>填所有矿井所在的国家名称，或如所用矿产来自回收料和报废料时请填“回收”或“报废”。</v>
      </c>
      <c r="P4" s="128" t="str">
        <f ca="1">OFFSET(L!$C$1,MATCH("Smelter List"&amp;ADDRESS(ROW(),COLUMN(),4),L!$A:$A,0)-1,SL,,)</f>
        <v>冶炼厂的被冶炼物料100%完全来自回收料或报废料吗？</v>
      </c>
      <c r="Q4" s="129" t="str">
        <f ca="1">OFFSET(L!$C$1,MATCH("Smelter List"&amp;ADDRESS(ROW(),COLUMN(),4),L!$A:$A,0)-1,SL,,)</f>
        <v>注释</v>
      </c>
      <c r="R4" s="127" t="s">
        <v>42</v>
      </c>
      <c r="S4" s="127" t="s">
        <v>43</v>
      </c>
      <c r="T4" s="127" t="s">
        <v>44</v>
      </c>
      <c r="U4" s="166"/>
      <c r="W4" s="139" t="s">
        <v>45</v>
      </c>
      <c r="X4" s="139" t="s">
        <v>46</v>
      </c>
      <c r="AB4" s="311"/>
      <c r="AC4" s="139" t="s">
        <v>20113</v>
      </c>
      <c r="AD4" s="139" t="s">
        <v>20114</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oddFooter>&amp;L_x000D_&amp;1#&amp;"Calibri"&amp;10&amp;K000000 Internal</oddFoot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在提交报告给客户检查本报告红色提示内容前， 请确保所有必填栏目已填写完成。</v>
      </c>
      <c r="B1" s="470"/>
      <c r="C1" s="470"/>
      <c r="D1" s="107" t="str">
        <f ca="1">OFFSET(L!$C$1,MATCH("Checker"&amp;ADDRESS(ROW(),COLUMN(),4),L!$A:$A,0)-1,SL,,)</f>
        <v>待完成的必填栏目</v>
      </c>
      <c r="E1" s="16" t="s">
        <v>18</v>
      </c>
    </row>
    <row r="2" spans="1:10" ht="15">
      <c r="A2" s="57" t="s">
        <v>47</v>
      </c>
      <c r="B2" s="58" t="str">
        <f>IF(F114=1,"Click here to return to Smelter List","")</f>
        <v>Click here to return to Smelter List</v>
      </c>
      <c r="C2" s="110" t="str">
        <f>IF(F112=1,"Click here to return to Product List","")</f>
        <v/>
      </c>
      <c r="D2" s="132">
        <f ca="1">IF(H125=0,"0",H125)</f>
        <v>23</v>
      </c>
    </row>
    <row r="3" spans="1:10" ht="15">
      <c r="A3" s="59" t="str">
        <f ca="1">OFFSET(L!$C$1,MATCH("Checker"&amp;ADDRESS(ROW(),COLUMN(),4),L!$A:$A,0)-1,SL,,)</f>
        <v>必填栏目</v>
      </c>
      <c r="B3" s="59" t="str">
        <f ca="1">OFFSET(L!$C$1,MATCH("Checker"&amp;ADDRESS(ROW(),COLUMN(),4),L!$A:$A,0)-1,SL,,)</f>
        <v>已提供的答案</v>
      </c>
      <c r="C3" s="59" t="str">
        <f ca="1">OFFSET(L!$C$1,MATCH("Checker"&amp;ADDRESS(ROW(),COLUMN(),4),L!$A:$A,0)-1,SL,,)</f>
        <v>备注</v>
      </c>
      <c r="D3" s="59" t="str">
        <f ca="1">OFFSET(L!$C$1,MATCH("Checker"&amp;ADDRESS(ROW(),COLUMN(),4),L!$A:$A,0)-1,SL,,)</f>
        <v>信息源链接</v>
      </c>
      <c r="F3" s="60" t="s">
        <v>48</v>
      </c>
      <c r="G3" s="15" t="s">
        <v>49</v>
      </c>
      <c r="H3" s="15" t="s">
        <v>50</v>
      </c>
      <c r="I3" s="15" t="s">
        <v>51</v>
      </c>
      <c r="J3" s="15" t="s">
        <v>52</v>
      </c>
    </row>
    <row r="4" spans="1:10" ht="41">
      <c r="A4" s="134" t="str">
        <f ca="1">Declaration!B8</f>
        <v>公司名称（*）：</v>
      </c>
      <c r="B4" s="354">
        <f>Declaration!D8</f>
        <v>0</v>
      </c>
      <c r="C4" s="135" t="str">
        <f t="shared" ref="C4:C11" ca="1" si="0">IF(H4=1,J4,I4)</f>
        <v>在“申报”选项卡 D8 单元格中提供您的公司名称</v>
      </c>
      <c r="D4" s="202" t="str">
        <f>IF(H4=1,"Click here to enter Company Name","")</f>
        <v>Click here to enter Company Name</v>
      </c>
      <c r="E4" s="16" t="s">
        <v>15</v>
      </c>
      <c r="F4" s="82">
        <v>1</v>
      </c>
      <c r="G4" s="61">
        <f t="shared" ref="G4:G11" si="1">IF(B4=0,1,0)</f>
        <v>1</v>
      </c>
      <c r="H4" s="62">
        <f t="shared" ref="H4:H17" si="2">F4*G4</f>
        <v>1</v>
      </c>
      <c r="I4" s="130" t="str">
        <f ca="1">OFFSET(L!$C$1,MATCH("Checker"&amp;"Comp",L!$A:$A,0)-1,SL,,)</f>
        <v>填写</v>
      </c>
      <c r="J4" s="356" t="str">
        <f ca="1">OFFSET(L!$C$1,MATCH("Checker"&amp;ADDRESS(ROW(),COLUMN(),4),L!$A:$A,0)-1,SL,,)</f>
        <v>在“申报”选项卡 D8 单元格中提供您的公司名称</v>
      </c>
    </row>
    <row r="5" spans="1:10" ht="41">
      <c r="A5" s="134" t="str">
        <f ca="1">Declaration!B9</f>
        <v>申报范围或种类 (*):</v>
      </c>
      <c r="B5" s="354">
        <f>Declaration!D9</f>
        <v>0</v>
      </c>
      <c r="C5" s="135" t="str">
        <f t="shared" ca="1" si="0"/>
        <v>在“申报”选项卡 D9 单元格中选择申报范围</v>
      </c>
      <c r="D5" s="84" t="str">
        <f>IF(H5=1,"Click here to enter Declaration Scope","")</f>
        <v>Click here to enter Declaration Scope</v>
      </c>
      <c r="E5" s="16" t="s">
        <v>15</v>
      </c>
      <c r="F5" s="82">
        <v>1</v>
      </c>
      <c r="G5" s="61">
        <f t="shared" si="1"/>
        <v>1</v>
      </c>
      <c r="H5" s="62">
        <f t="shared" si="2"/>
        <v>1</v>
      </c>
      <c r="I5" s="130" t="str">
        <f ca="1">OFFSET(L!$C$1,MATCH("Checker"&amp;"Comp",L!$A:$A,0)-1,SL,,)</f>
        <v>填写</v>
      </c>
      <c r="J5" s="131" t="str">
        <f ca="1">OFFSET(L!$C$1,MATCH("Checker"&amp;ADDRESS(ROW(),COLUMN(),4),L!$A:$A,0)-1,SL,,)</f>
        <v>在“申报”选项卡 D9 单元格中选择申报范围</v>
      </c>
    </row>
    <row r="6" spans="1:10" ht="22" customHeight="1">
      <c r="A6" s="79" t="str">
        <f ca="1">Declaration!B10</f>
        <v>范围描述：</v>
      </c>
      <c r="B6" s="78">
        <f>Declaration!D10</f>
        <v>0</v>
      </c>
      <c r="C6" s="78" t="str">
        <f t="shared" ca="1" si="0"/>
        <v>填写</v>
      </c>
      <c r="D6" s="84" t="str">
        <f>IF(H6=1,"Click here to provide a Description of Scope","")</f>
        <v/>
      </c>
      <c r="E6" s="16" t="s">
        <v>15</v>
      </c>
      <c r="F6" s="83">
        <f>IF(OR(B5=Declaration!P9,B5=Declaration!Q9,B5=0),0,1)</f>
        <v>0</v>
      </c>
      <c r="G6" s="61">
        <f t="shared" si="1"/>
        <v>1</v>
      </c>
      <c r="H6" s="62">
        <f t="shared" si="2"/>
        <v>0</v>
      </c>
      <c r="I6" s="130" t="str">
        <f ca="1">OFFSET(L!$C$1,MATCH("Checker"&amp;"Comp",L!$A:$A,0)-1,SL,,)</f>
        <v>填写</v>
      </c>
      <c r="J6" s="15" t="str">
        <f ca="1">OFFSET(L!$C$1,MATCH("Checker"&amp;ADDRESS(ROW(),COLUMN(),4),L!$A:$A,0)-1,SL,,)</f>
        <v>在“申报”选项卡 D10 单元格中提供范围说明</v>
      </c>
    </row>
    <row r="7" spans="1:10" ht="22" customHeight="1">
      <c r="A7" s="79" t="str">
        <f ca="1">Declaration!B12</f>
        <v>选择贵公司的矿产申报范围 (*):</v>
      </c>
      <c r="B7" s="81"/>
      <c r="C7" s="78" t="str">
        <f t="shared" ca="1" si="0"/>
        <v>填写</v>
      </c>
      <c r="D7" s="315" t="str">
        <f>IF(H7=1,"Click here to enter Minerals/Metals in Scope","")</f>
        <v/>
      </c>
      <c r="E7" s="16"/>
      <c r="F7" s="82">
        <v>1</v>
      </c>
      <c r="G7" s="306">
        <f>IF(Declaration!B30&lt;&gt;"",0,1)</f>
        <v>0</v>
      </c>
      <c r="H7" s="62">
        <f t="shared" si="2"/>
        <v>0</v>
      </c>
      <c r="I7" s="130" t="str">
        <f ca="1">OFFSET(L!$C$1,MATCH("Checker"&amp;"Comp",L!$A:$A,0)-1,SL,,)</f>
        <v>填写</v>
      </c>
      <c r="J7" s="15">
        <f ca="1">OFFSET(L!$C$1,MATCH("Checker"&amp;ADDRESS(ROW(),COLUMN(),4),L!$A:$A,0)-1,SL,,)</f>
        <v>0</v>
      </c>
    </row>
    <row r="8" spans="1:10" ht="22" customHeight="1">
      <c r="A8" s="79">
        <f>Declaration!B14</f>
        <v>0</v>
      </c>
      <c r="B8" s="78"/>
      <c r="C8" s="78"/>
      <c r="D8" s="84"/>
      <c r="E8" s="16"/>
      <c r="F8" s="82"/>
      <c r="G8" s="61"/>
      <c r="H8" s="62"/>
      <c r="I8" s="130"/>
    </row>
    <row r="9" spans="1:10" ht="41">
      <c r="A9" s="134" t="str">
        <f ca="1">Declaration!B19</f>
        <v>联系人姓名 (*):</v>
      </c>
      <c r="B9" s="354">
        <f>Declaration!D19</f>
        <v>0</v>
      </c>
      <c r="C9" s="135" t="str">
        <f t="shared" ca="1" si="0"/>
        <v>在“申报”选项卡 D19 单元格中提供联系人姓名</v>
      </c>
      <c r="D9" s="315" t="str">
        <f>IF(H9=1,"Click here to enter Contact Name","")</f>
        <v>Click here to enter Contact Name</v>
      </c>
      <c r="E9" s="16" t="s">
        <v>15</v>
      </c>
      <c r="F9" s="82">
        <v>1</v>
      </c>
      <c r="G9" s="61">
        <f t="shared" si="1"/>
        <v>1</v>
      </c>
      <c r="H9" s="62">
        <f t="shared" si="2"/>
        <v>1</v>
      </c>
      <c r="I9" s="130" t="str">
        <f ca="1">OFFSET(L!$C$1,MATCH("Checker"&amp;"Comp",L!$A:$A,0)-1,SL,,)</f>
        <v>填写</v>
      </c>
      <c r="J9" s="15" t="str">
        <f ca="1">OFFSET(L!$C$1,MATCH("Checker"&amp;ADDRESS(ROW(),COLUMN(),4),L!$A:$A,0)-1,SL,,)</f>
        <v>在“申报”选项卡 D19 单元格中提供联系人姓名</v>
      </c>
    </row>
    <row r="10" spans="1:10" ht="41">
      <c r="A10" s="134" t="str">
        <f ca="1">Declaration!B20</f>
        <v>联系人电邮地址 (*):</v>
      </c>
      <c r="B10" s="355">
        <f>Declaration!D20</f>
        <v>0</v>
      </c>
      <c r="C10" s="135" t="str">
        <f t="shared" ca="1" si="0"/>
        <v>在“申报”选项卡 D20 单元格中提供联系人有效的电子邮件地址</v>
      </c>
      <c r="D10" s="314" t="str">
        <f>IF(H10=1,"Click here to enter Email-Contact","")</f>
        <v>Click here to enter Email-Contact</v>
      </c>
      <c r="E10" s="16" t="s">
        <v>15</v>
      </c>
      <c r="F10" s="82">
        <v>1</v>
      </c>
      <c r="G10" s="61">
        <f>IF(ISNUMBER(SEARCH("@",B10)),0,1)</f>
        <v>1</v>
      </c>
      <c r="H10" s="62">
        <f t="shared" si="2"/>
        <v>1</v>
      </c>
      <c r="I10" s="130" t="str">
        <f ca="1">OFFSET(L!$C$1,MATCH("Checker"&amp;"Comp",L!$A:$A,0)-1,SL,,)</f>
        <v>填写</v>
      </c>
      <c r="J10" s="15" t="str">
        <f ca="1">OFFSET(L!$C$1,MATCH("Checker"&amp;ADDRESS(ROW(),COLUMN(),4),L!$A:$A,0)-1,SL,,)</f>
        <v>在“申报”选项卡 D20 单元格中提供联系人有效的电子邮件地址</v>
      </c>
    </row>
    <row r="11" spans="1:10" ht="41">
      <c r="A11" s="134" t="str">
        <f ca="1">Declaration!B21</f>
        <v>联系人电话 (*):</v>
      </c>
      <c r="B11" s="354">
        <f>Declaration!D21</f>
        <v>0</v>
      </c>
      <c r="C11" s="135" t="str">
        <f t="shared" ca="1" si="0"/>
        <v>在“申报”选项卡 D21 单元格中提供联系人的电话号码</v>
      </c>
      <c r="D11" s="314" t="str">
        <f>IF(H11=1,"Click here to enter Phone-Contact","")</f>
        <v>Click here to enter Phone-Contact</v>
      </c>
      <c r="E11" s="16" t="s">
        <v>15</v>
      </c>
      <c r="F11" s="82">
        <v>1</v>
      </c>
      <c r="G11" s="61">
        <f t="shared" si="1"/>
        <v>1</v>
      </c>
      <c r="H11" s="62">
        <f t="shared" si="2"/>
        <v>1</v>
      </c>
      <c r="I11" s="130" t="str">
        <f ca="1">OFFSET(L!$C$1,MATCH("Checker"&amp;"Comp",L!$A:$A,0)-1,SL,,)</f>
        <v>填写</v>
      </c>
      <c r="J11" s="15" t="str">
        <f ca="1">OFFSET(L!$C$1,MATCH("Checker"&amp;ADDRESS(ROW(),COLUMN(),4),L!$A:$A,0)-1,SL,,)</f>
        <v>在“申报”选项卡 D21 单元格中提供联系人的电话号码</v>
      </c>
    </row>
    <row r="12" spans="1:10" ht="41">
      <c r="A12" s="134" t="str">
        <f ca="1">Declaration!B22</f>
        <v>授权人姓名 (*):</v>
      </c>
      <c r="B12" s="354">
        <f>Declaration!D22</f>
        <v>0</v>
      </c>
      <c r="C12" s="135" t="str">
        <f t="shared" ref="C12:C72" ca="1" si="3">IF(H12=1,J12,I12)</f>
        <v>在“申报”选项卡 D22 单元格中提供授权公司代表联系人姓名</v>
      </c>
      <c r="D12" s="314" t="str">
        <f>IF(H12=1,"Click here to enter an Authorized Company Representative's name","")</f>
        <v>Click here to enter an Authorized Company Representative's name</v>
      </c>
      <c r="E12" s="16" t="s">
        <v>15</v>
      </c>
      <c r="F12" s="82">
        <v>1</v>
      </c>
      <c r="G12" s="61">
        <f t="shared" ref="G12:G17" si="4">IF(B12=0,1,0)</f>
        <v>1</v>
      </c>
      <c r="H12" s="62">
        <f t="shared" si="2"/>
        <v>1</v>
      </c>
      <c r="I12" s="130" t="str">
        <f ca="1">OFFSET(L!$C$1,MATCH("Checker"&amp;"Comp",L!$A:$A,0)-1,SL,,)</f>
        <v>填写</v>
      </c>
      <c r="J12" s="15" t="str">
        <f ca="1">OFFSET(L!$C$1,MATCH("Checker"&amp;ADDRESS(ROW(),COLUMN(),4),L!$A:$A,0)-1,SL,,)</f>
        <v>在“申报”选项卡 D22 单元格中提供授权公司代表联系人姓名</v>
      </c>
    </row>
    <row r="13" spans="1:10" ht="27.5">
      <c r="A13" s="79" t="str">
        <f ca="1">Declaration!B24</f>
        <v>授权人电邮地址 (*):</v>
      </c>
      <c r="B13" s="80">
        <f>Declaration!D24</f>
        <v>0</v>
      </c>
      <c r="C13" s="78" t="str">
        <f t="shared" ca="1" si="3"/>
        <v>在“申报”选项卡 D24 单元格中提供授权公司代表的有效的电子邮件地址</v>
      </c>
      <c r="D13" s="314" t="str">
        <f>IF(H13=1,"Click here to enter Representative's email","")</f>
        <v>Click here to enter Representative's email</v>
      </c>
      <c r="E13" s="16" t="s">
        <v>18957</v>
      </c>
      <c r="F13" s="82">
        <v>1</v>
      </c>
      <c r="G13" s="61">
        <f>IF(ISNUMBER(SEARCH("@",B13)),0,1)</f>
        <v>1</v>
      </c>
      <c r="H13" s="62">
        <f t="shared" si="2"/>
        <v>1</v>
      </c>
      <c r="I13" s="130" t="str">
        <f ca="1">OFFSET(L!$C$1,MATCH("Checker"&amp;"Comp",L!$A:$A,0)-1,SL,,)</f>
        <v>填写</v>
      </c>
      <c r="J13" s="357" t="str">
        <f ca="1">OFFSET(L!$C$1,MATCH("Checker"&amp;ADDRESS(ROW(),COLUMN(),4),L!$A:$A,0)-1,SL,,)</f>
        <v>在“申报”选项卡 D24 单元格中提供授权公司代表的有效的电子邮件地址</v>
      </c>
    </row>
    <row r="14" spans="1:10" ht="22" customHeight="1">
      <c r="A14" s="79"/>
      <c r="B14" s="78"/>
      <c r="C14" s="78"/>
      <c r="D14" s="84"/>
      <c r="E14" s="16" t="s">
        <v>15</v>
      </c>
      <c r="F14" s="82"/>
      <c r="G14" s="61"/>
      <c r="H14" s="62">
        <f>F14*G14</f>
        <v>0</v>
      </c>
      <c r="I14" s="130"/>
    </row>
    <row r="15" spans="1:10" ht="41">
      <c r="A15" s="79" t="str">
        <f ca="1">Declaration!B26</f>
        <v>授权日期 (*):</v>
      </c>
      <c r="B15" s="80">
        <f>Declaration!D26</f>
        <v>0</v>
      </c>
      <c r="C15" s="78" t="str">
        <f t="shared" ca="1" si="3"/>
        <v>在“申报”选项卡 D26 单元格中提供表格填写日期</v>
      </c>
      <c r="D15" s="314" t="str">
        <f>IF(H15=1,"Click here to enter Date of Completion","")</f>
        <v>Click here to enter Date of Completion</v>
      </c>
      <c r="E15" s="16" t="s">
        <v>15</v>
      </c>
      <c r="F15" s="82">
        <v>1</v>
      </c>
      <c r="G15" s="61">
        <f t="shared" si="4"/>
        <v>1</v>
      </c>
      <c r="H15" s="62">
        <f t="shared" si="2"/>
        <v>1</v>
      </c>
      <c r="I15" s="130" t="str">
        <f ca="1">OFFSET(L!$C$1,MATCH("Checker"&amp;"Comp",L!$A:$A,0)-1,SL,,)</f>
        <v>填写</v>
      </c>
      <c r="J15" s="15" t="str">
        <f ca="1">OFFSET(L!$C$1,MATCH("Checker"&amp;ADDRESS(ROW(),COLUMN(),4),L!$A:$A,0)-1,SL,,)</f>
        <v>在“申报”选项卡 D26 单元格中提供表格填写日期</v>
      </c>
    </row>
    <row r="16" spans="1:10" ht="25" customHeight="1">
      <c r="A16" s="78" t="str">
        <f ca="1">Declaration!B29</f>
        <v>1) 是否在产品或生产流程中有意添加或使用任何指定矿产？ (*)</v>
      </c>
      <c r="B16" s="81"/>
      <c r="C16" s="81"/>
      <c r="D16" s="85"/>
      <c r="E16" s="16" t="s">
        <v>16</v>
      </c>
      <c r="F16" s="82"/>
      <c r="H16" s="15">
        <f t="shared" si="2"/>
        <v>0</v>
      </c>
    </row>
    <row r="17" spans="1:10" ht="25" customHeight="1">
      <c r="A17" s="79" t="str">
        <f>Declaration!B30</f>
        <v>Cobalt(*)</v>
      </c>
      <c r="B17" s="78">
        <f>Declaration!D30</f>
        <v>0</v>
      </c>
      <c r="C17" s="78" t="str">
        <f t="shared" ca="1" si="3"/>
        <v>在“申报”选项卡 D30 单元格中申报是否有意将指定矿产增加到贵公司的产品中</v>
      </c>
      <c r="D17" s="314" t="str">
        <f>IF(H17=1,"Click here to answer question 1 for specified mineral","")</f>
        <v>Click here to answer question 1 for specified mineral</v>
      </c>
      <c r="E17" s="16" t="s">
        <v>18</v>
      </c>
      <c r="F17" s="321">
        <f>IF(A17="",0,1)</f>
        <v>1</v>
      </c>
      <c r="G17" s="61">
        <f t="shared" si="4"/>
        <v>1</v>
      </c>
      <c r="H17" s="62">
        <f t="shared" si="2"/>
        <v>1</v>
      </c>
      <c r="I17" s="130" t="str">
        <f ca="1">OFFSET(L!$C$1,MATCH("Checker"&amp;"Comp",L!$A:$A,0)-1,SL,,)</f>
        <v>填写</v>
      </c>
      <c r="J17" s="131" t="str">
        <f ca="1">OFFSET(L!$C$1,MATCH("Checker"&amp;ADDRESS(ROW(),COLUMN(),4),L!$A:$A,0)-1,SL,,)</f>
        <v>在“申报”选项卡 D30 单元格中申报是否有意将指定矿产增加到贵公司的产品中</v>
      </c>
    </row>
    <row r="18" spans="1:10" ht="25" customHeight="1">
      <c r="A18" s="79" t="str">
        <f>Declaration!B31</f>
        <v/>
      </c>
      <c r="B18" s="78">
        <f>Declaration!D31</f>
        <v>0</v>
      </c>
      <c r="C18" s="78" t="str">
        <f t="shared" ca="1" si="3"/>
        <v>填写</v>
      </c>
      <c r="D18" s="314" t="str">
        <f>IF(H18=1,"Click here to answer question 1 for specified mineral","")</f>
        <v/>
      </c>
      <c r="E18" s="16" t="s">
        <v>15</v>
      </c>
      <c r="F18" s="321">
        <f t="shared" ref="F18:F22" si="5">IF(A18="",0,1)</f>
        <v>0</v>
      </c>
      <c r="G18" s="61">
        <f t="shared" ref="G18:G22" si="6">IF(B18=0,1,0)</f>
        <v>1</v>
      </c>
      <c r="H18" s="62">
        <f t="shared" ref="H18:H22" si="7">F18*G18</f>
        <v>0</v>
      </c>
      <c r="I18" s="130" t="str">
        <f ca="1">OFFSET(L!$C$1,MATCH("Checker"&amp;"Comp",L!$A:$A,0)-1,SL,,)</f>
        <v>填写</v>
      </c>
      <c r="J18" s="131" t="str">
        <f ca="1">OFFSET(L!$C$1,MATCH("Checker"&amp;ADDRESS(ROW(),COLUMN(),4),L!$A:$A,0)-1,SL,,)</f>
        <v>在“申报”选项卡 D31 单元格中申报是否有意将指定矿产增加到贵公司的产品中</v>
      </c>
    </row>
    <row r="19" spans="1:10" ht="25" customHeight="1">
      <c r="A19" s="79" t="str">
        <f>Declaration!B32</f>
        <v/>
      </c>
      <c r="B19" s="78">
        <f>Declaration!D32</f>
        <v>0</v>
      </c>
      <c r="C19" s="78" t="str">
        <f t="shared" ca="1" si="3"/>
        <v>填写</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填写</v>
      </c>
      <c r="J19" s="131" t="str">
        <f ca="1">OFFSET(L!$C$1,MATCH("Checker"&amp;ADDRESS(ROW(),COLUMN(),4),L!$A:$A,0)-1,SL,,)</f>
        <v>在“申报”选项卡 D32 单元格中申报是否有意将指定矿产增加到贵公司的产品中</v>
      </c>
    </row>
    <row r="20" spans="1:10" ht="25" customHeight="1">
      <c r="A20" s="79" t="str">
        <f>Declaration!B33</f>
        <v/>
      </c>
      <c r="B20" s="78">
        <f>Declaration!D33</f>
        <v>0</v>
      </c>
      <c r="C20" s="78" t="str">
        <f t="shared" ca="1" si="3"/>
        <v>填写</v>
      </c>
      <c r="D20" s="314" t="str">
        <f t="shared" si="8"/>
        <v/>
      </c>
      <c r="E20" s="16" t="s">
        <v>15</v>
      </c>
      <c r="F20" s="321">
        <f t="shared" si="5"/>
        <v>0</v>
      </c>
      <c r="G20" s="61">
        <f t="shared" si="6"/>
        <v>1</v>
      </c>
      <c r="H20" s="62">
        <f t="shared" si="7"/>
        <v>0</v>
      </c>
      <c r="I20" s="130" t="str">
        <f ca="1">OFFSET(L!$C$1,MATCH("Checker"&amp;"Comp",L!$A:$A,0)-1,SL,,)</f>
        <v>填写</v>
      </c>
      <c r="J20" s="131" t="str">
        <f ca="1">OFFSET(L!$C$1,MATCH("Checker"&amp;ADDRESS(ROW(),COLUMN(),4),L!$A:$A,0)-1,SL,,)</f>
        <v>在“申报”选项卡 D33 单元格中申报是否有意将指定矿产增加到贵公司的产品中</v>
      </c>
    </row>
    <row r="21" spans="1:10" ht="25" customHeight="1">
      <c r="A21" s="79" t="str">
        <f>Declaration!B34</f>
        <v/>
      </c>
      <c r="B21" s="78">
        <f>Declaration!D34</f>
        <v>0</v>
      </c>
      <c r="C21" s="78" t="str">
        <f t="shared" ca="1" si="3"/>
        <v>填写</v>
      </c>
      <c r="D21" s="314" t="str">
        <f t="shared" si="8"/>
        <v/>
      </c>
      <c r="E21" s="16"/>
      <c r="F21" s="321">
        <f t="shared" si="5"/>
        <v>0</v>
      </c>
      <c r="G21" s="61">
        <f t="shared" si="6"/>
        <v>1</v>
      </c>
      <c r="H21" s="62">
        <f t="shared" si="7"/>
        <v>0</v>
      </c>
      <c r="I21" s="130" t="str">
        <f ca="1">OFFSET(L!$C$1,MATCH("Checker"&amp;"Comp",L!$A:$A,0)-1,SL,,)</f>
        <v>填写</v>
      </c>
      <c r="J21" s="131" t="str">
        <f ca="1">OFFSET(L!$C$1,MATCH("Checker"&amp;ADDRESS(ROW(),COLUMN(),4),L!$A:$A,0)-1,SL,,)</f>
        <v>在“申报”选项卡 D34 单元格中申报是否有意将指定矿产增加到贵公司的产品中</v>
      </c>
    </row>
    <row r="22" spans="1:10" ht="25" customHeight="1">
      <c r="A22" s="79" t="str">
        <f>Declaration!B35</f>
        <v/>
      </c>
      <c r="B22" s="78">
        <f>Declaration!D35</f>
        <v>0</v>
      </c>
      <c r="C22" s="78" t="str">
        <f t="shared" ca="1" si="3"/>
        <v>填写</v>
      </c>
      <c r="D22" s="314" t="str">
        <f t="shared" si="8"/>
        <v/>
      </c>
      <c r="E22" s="16"/>
      <c r="F22" s="321">
        <f t="shared" si="5"/>
        <v>0</v>
      </c>
      <c r="G22" s="61">
        <f t="shared" si="6"/>
        <v>1</v>
      </c>
      <c r="H22" s="62">
        <f t="shared" si="7"/>
        <v>0</v>
      </c>
      <c r="I22" s="130" t="str">
        <f ca="1">OFFSET(L!$C$1,MATCH("Checker"&amp;"Comp",L!$A:$A,0)-1,SL,,)</f>
        <v>填写</v>
      </c>
      <c r="J22" s="131" t="str">
        <f ca="1">OFFSET(L!$C$1,MATCH("Checker"&amp;ADDRESS(ROW(),COLUMN(),4),L!$A:$A,0)-1,SL,,)</f>
        <v>在“申报”选项卡 D35 单元格中申报是否有意将指定矿产增加到贵公司的产品中</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产品中是否还存有任何指定矿产？ (*)(*)</v>
      </c>
      <c r="B27" s="81"/>
      <c r="C27" s="81"/>
      <c r="D27" s="85"/>
      <c r="E27" s="16" t="s">
        <v>15</v>
      </c>
      <c r="F27" s="82"/>
      <c r="J27" s="131"/>
    </row>
    <row r="28" spans="1:10" ht="41">
      <c r="A28" s="79" t="str">
        <f>Declaration!B42</f>
        <v>Cobalt(*)</v>
      </c>
      <c r="B28" s="78">
        <f>Declaration!D42</f>
        <v>0</v>
      </c>
      <c r="C28" s="135" t="str">
        <f t="shared" ref="C28:C37" ca="1" si="9">IF(H28=1,J28,I28)</f>
        <v>在“申报”选项卡 D42 单元格中申报指定矿产是否必须用于贵公司产品的生产中并且包含在申报的成品内</v>
      </c>
      <c r="D28" s="314" t="str">
        <f>IF(H28=1,"Click here to answer question 2 for specified mineral","")</f>
        <v>Click here to answer question 2 for specified mineral</v>
      </c>
      <c r="E28" s="16" t="s">
        <v>15</v>
      </c>
      <c r="F28" s="83">
        <f>IF(OR(A17="",B17="No",B17="Unknown",B17="Not declaring"),0,1)</f>
        <v>1</v>
      </c>
      <c r="G28" s="61">
        <f>IF(B28=0,1,0)</f>
        <v>1</v>
      </c>
      <c r="H28" s="62">
        <f>F28*G28</f>
        <v>1</v>
      </c>
      <c r="I28" s="130"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41">
      <c r="A29" s="79" t="str">
        <f>Declaration!B43</f>
        <v/>
      </c>
      <c r="B29" s="78">
        <f>Declaration!D43</f>
        <v>0</v>
      </c>
      <c r="C29" s="135" t="str">
        <f t="shared" ca="1" si="9"/>
        <v>填写</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40.5">
      <c r="A30" s="79" t="str">
        <f>Declaration!B44</f>
        <v/>
      </c>
      <c r="B30" s="78">
        <f>Declaration!D44</f>
        <v>0</v>
      </c>
      <c r="C30" s="135" t="str">
        <f t="shared" ca="1" si="9"/>
        <v>填写</v>
      </c>
      <c r="D30" s="314" t="str">
        <f t="shared" si="10"/>
        <v/>
      </c>
      <c r="E30" s="16"/>
      <c r="F30" s="83">
        <f t="shared" si="11"/>
        <v>0</v>
      </c>
      <c r="G30" s="61">
        <f t="shared" si="12"/>
        <v>1</v>
      </c>
      <c r="H30" s="62">
        <f t="shared" si="13"/>
        <v>0</v>
      </c>
      <c r="I30" s="130"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40.5">
      <c r="A31" s="79" t="str">
        <f>Declaration!B45</f>
        <v/>
      </c>
      <c r="B31" s="78">
        <f>Declaration!D45</f>
        <v>0</v>
      </c>
      <c r="C31" s="135" t="str">
        <f t="shared" ca="1" si="9"/>
        <v>填写</v>
      </c>
      <c r="D31" s="314" t="str">
        <f t="shared" si="10"/>
        <v/>
      </c>
      <c r="E31" s="16"/>
      <c r="F31" s="83">
        <f t="shared" si="11"/>
        <v>0</v>
      </c>
      <c r="G31" s="61">
        <f t="shared" si="12"/>
        <v>1</v>
      </c>
      <c r="H31" s="62">
        <f t="shared" si="13"/>
        <v>0</v>
      </c>
      <c r="I31" s="130"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40.5">
      <c r="A32" s="79" t="str">
        <f>Declaration!B46</f>
        <v/>
      </c>
      <c r="B32" s="78">
        <f>Declaration!D46</f>
        <v>0</v>
      </c>
      <c r="C32" s="135" t="str">
        <f t="shared" ca="1" si="9"/>
        <v>填写</v>
      </c>
      <c r="D32" s="314" t="str">
        <f t="shared" si="10"/>
        <v/>
      </c>
      <c r="E32" s="16"/>
      <c r="F32" s="83">
        <f t="shared" si="11"/>
        <v>0</v>
      </c>
      <c r="G32" s="61">
        <f t="shared" si="12"/>
        <v>1</v>
      </c>
      <c r="H32" s="62">
        <f t="shared" si="13"/>
        <v>0</v>
      </c>
      <c r="I32" s="130"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40.5">
      <c r="A33" s="79" t="str">
        <f>Declaration!B47</f>
        <v/>
      </c>
      <c r="B33" s="78">
        <f>Declaration!D47</f>
        <v>0</v>
      </c>
      <c r="C33" s="135" t="str">
        <f t="shared" ca="1" si="9"/>
        <v>填写</v>
      </c>
      <c r="D33" s="314" t="str">
        <f t="shared" si="10"/>
        <v/>
      </c>
      <c r="E33" s="16"/>
      <c r="F33" s="83">
        <f t="shared" si="11"/>
        <v>0</v>
      </c>
      <c r="G33" s="61">
        <f t="shared" si="12"/>
        <v>1</v>
      </c>
      <c r="H33" s="62">
        <f t="shared" si="13"/>
        <v>0</v>
      </c>
      <c r="I33" s="130"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贵公司供应链中是否有冶炼厂或加工厂从受冲突影响和高风险地区采购指定矿产？ （《经合组织尽职调查指南》，参见定义选项卡） (*)</v>
      </c>
      <c r="B38" s="81"/>
      <c r="C38" s="81"/>
      <c r="D38" s="85"/>
      <c r="E38" s="16" t="s">
        <v>15</v>
      </c>
      <c r="F38" s="82"/>
      <c r="J38" s="131"/>
    </row>
    <row r="39" spans="1:10" ht="41">
      <c r="A39" s="79" t="str">
        <f>Declaration!B54</f>
        <v>Cobalt(*)</v>
      </c>
      <c r="B39" s="78">
        <f>Declaration!D54</f>
        <v>0</v>
      </c>
      <c r="C39" s="135" t="str">
        <f t="shared" ca="1" si="3"/>
        <v>在“申报”选项卡 D54 单元格中申报此调查回答中所申报产品范围内使用的指定矿产的原产地是否为受冲突影响和高风险地区</v>
      </c>
      <c r="D39" s="316" t="str">
        <f>IF(H39=1,"Click here to answer question 3 for Specified mineral","")</f>
        <v>Click here to answer question 3 for Specified mineral</v>
      </c>
      <c r="E39" s="16" t="s">
        <v>15</v>
      </c>
      <c r="F39" s="83">
        <f>IF(OR(A17="",B17="No",B17="Unknown",B17="Not declaring",B28="No",B28="Unknown"),0,1)</f>
        <v>1</v>
      </c>
      <c r="G39" s="61">
        <f t="shared" ref="G39:G111" si="14">IF(B39=0,1,0)</f>
        <v>1</v>
      </c>
      <c r="H39" s="62">
        <f t="shared" ref="H39:H111" si="15">F39*G39</f>
        <v>1</v>
      </c>
      <c r="I39" s="130"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41">
      <c r="A40" s="79" t="str">
        <f>Declaration!B55</f>
        <v/>
      </c>
      <c r="B40" s="78">
        <f>Declaration!D55</f>
        <v>0</v>
      </c>
      <c r="C40" s="135" t="str">
        <f t="shared" ca="1" si="3"/>
        <v>填写</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40.5">
      <c r="A41" s="79" t="str">
        <f>Declaration!B56</f>
        <v/>
      </c>
      <c r="B41" s="78">
        <f>Declaration!D56</f>
        <v>0</v>
      </c>
      <c r="C41" s="135" t="str">
        <f t="shared" ca="1" si="3"/>
        <v>填写</v>
      </c>
      <c r="D41" s="316" t="str">
        <f t="shared" si="16"/>
        <v/>
      </c>
      <c r="E41" s="16"/>
      <c r="F41" s="83">
        <f t="shared" si="17"/>
        <v>0</v>
      </c>
      <c r="G41" s="61">
        <f t="shared" si="18"/>
        <v>1</v>
      </c>
      <c r="H41" s="62">
        <f t="shared" si="19"/>
        <v>0</v>
      </c>
      <c r="I41" s="130"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40.5">
      <c r="A42" s="79" t="str">
        <f>Declaration!B57</f>
        <v/>
      </c>
      <c r="B42" s="78">
        <f>Declaration!D57</f>
        <v>0</v>
      </c>
      <c r="C42" s="135" t="str">
        <f t="shared" ca="1" si="3"/>
        <v>填写</v>
      </c>
      <c r="D42" s="316" t="str">
        <f t="shared" si="16"/>
        <v/>
      </c>
      <c r="E42" s="16"/>
      <c r="F42" s="83">
        <f t="shared" si="17"/>
        <v>0</v>
      </c>
      <c r="G42" s="61">
        <f t="shared" si="18"/>
        <v>1</v>
      </c>
      <c r="H42" s="62">
        <f t="shared" si="19"/>
        <v>0</v>
      </c>
      <c r="I42" s="130"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40.5">
      <c r="A43" s="79" t="str">
        <f>Declaration!B58</f>
        <v/>
      </c>
      <c r="B43" s="78">
        <f>Declaration!D58</f>
        <v>0</v>
      </c>
      <c r="C43" s="135" t="str">
        <f t="shared" ca="1" si="3"/>
        <v>填写</v>
      </c>
      <c r="D43" s="316" t="str">
        <f t="shared" si="16"/>
        <v/>
      </c>
      <c r="E43" s="16"/>
      <c r="F43" s="83">
        <f t="shared" si="17"/>
        <v>0</v>
      </c>
      <c r="G43" s="61">
        <f t="shared" si="18"/>
        <v>1</v>
      </c>
      <c r="H43" s="62">
        <f t="shared" si="19"/>
        <v>0</v>
      </c>
      <c r="I43" s="130"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40.5">
      <c r="A44" s="79" t="str">
        <f>Declaration!B59</f>
        <v/>
      </c>
      <c r="B44" s="78">
        <f>Declaration!D59</f>
        <v>0</v>
      </c>
      <c r="C44" s="135" t="str">
        <f t="shared" ca="1" si="3"/>
        <v>填写</v>
      </c>
      <c r="D44" s="316" t="str">
        <f t="shared" si="16"/>
        <v/>
      </c>
      <c r="E44" s="16"/>
      <c r="F44" s="83">
        <f t="shared" si="17"/>
        <v>0</v>
      </c>
      <c r="G44" s="61">
        <f t="shared" si="18"/>
        <v>1</v>
      </c>
      <c r="H44" s="62">
        <f t="shared" si="19"/>
        <v>0</v>
      </c>
      <c r="I44" s="130"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是否 100% 的指定矿产来自回收料或
报废料资源？ (*)</v>
      </c>
      <c r="B49" s="81"/>
      <c r="C49" s="81"/>
      <c r="D49" s="85"/>
      <c r="E49" s="16" t="s">
        <v>15</v>
      </c>
      <c r="F49" s="82"/>
      <c r="J49" s="131"/>
    </row>
    <row r="50" spans="1:10" ht="55.5" customHeight="1">
      <c r="A50" s="79" t="str">
        <f>Declaration!B66</f>
        <v>Cobalt(*)</v>
      </c>
      <c r="B50" s="78">
        <f>Declaration!D66</f>
        <v>0</v>
      </c>
      <c r="C50" s="135" t="str">
        <f ca="1">IF(H50=1,J50,I50)</f>
        <v>在“申报”选项卡 D66 单元格中申报在此调查回答中所申报产品范围内使用的指定矿产是否完全来自回收料或报废料</v>
      </c>
      <c r="D50" s="316" t="str">
        <f>IF(H50=1,"Click here to answer question 4 for specified mineral","")</f>
        <v>Click here to answer question 4 for specified mineral</v>
      </c>
      <c r="E50" s="16" t="s">
        <v>15</v>
      </c>
      <c r="F50" s="83">
        <f>F39</f>
        <v>1</v>
      </c>
      <c r="G50" s="61">
        <f>IF(B50=0,1,0)</f>
        <v>1</v>
      </c>
      <c r="H50" s="62">
        <f>F50*G50</f>
        <v>1</v>
      </c>
      <c r="I50" s="130" t="str">
        <f ca="1">OFFSET(L!$C$1,MATCH("Checker"&amp;"Comp",L!$A:$A,0)-1,SL,,)</f>
        <v>填写</v>
      </c>
      <c r="J50" s="131" t="str">
        <f ca="1">OFFSET(L!$C$1,MATCH("Checker"&amp;ADDRESS(ROW(),COLUMN(),4),L!$A:$A,0)-1,SL,,)</f>
        <v>在“申报”选项卡 D66 单元格中申报在此调查回答中所申报产品范围内使用的指定矿产是否完全来自回收料或报废料</v>
      </c>
    </row>
    <row r="51" spans="1:10" ht="55.5" customHeight="1">
      <c r="A51" s="79" t="str">
        <f>Declaration!B67</f>
        <v/>
      </c>
      <c r="B51" s="78">
        <f>Declaration!D67</f>
        <v>0</v>
      </c>
      <c r="C51" s="135" t="str">
        <f t="shared" ref="C51:C59" ca="1" si="20">IF(H51=1,J51,I51)</f>
        <v>填写</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填写</v>
      </c>
      <c r="J51" s="131" t="str">
        <f ca="1">OFFSET(L!$C$1,MATCH("Checker"&amp;ADDRESS(ROW(),COLUMN(),4),L!$A:$A,0)-1,SL,,)</f>
        <v>在“申报”选项卡 D67 单元格中申报在此调查回答中所申报产品范围内使用的指定矿产是否完全来自回收料或报废料</v>
      </c>
    </row>
    <row r="52" spans="1:10" ht="55.5" customHeight="1">
      <c r="A52" s="79" t="str">
        <f>Declaration!B68</f>
        <v/>
      </c>
      <c r="B52" s="78">
        <f>Declaration!D68</f>
        <v>0</v>
      </c>
      <c r="C52" s="135" t="str">
        <f t="shared" ca="1" si="20"/>
        <v>填写</v>
      </c>
      <c r="D52" s="316" t="str">
        <f t="shared" si="21"/>
        <v/>
      </c>
      <c r="E52" s="16"/>
      <c r="F52" s="83">
        <f t="shared" si="22"/>
        <v>0</v>
      </c>
      <c r="G52" s="61">
        <f t="shared" si="23"/>
        <v>1</v>
      </c>
      <c r="H52" s="62">
        <f t="shared" si="24"/>
        <v>0</v>
      </c>
      <c r="I52" s="130" t="str">
        <f ca="1">OFFSET(L!$C$1,MATCH("Checker"&amp;"Comp",L!$A:$A,0)-1,SL,,)</f>
        <v>填写</v>
      </c>
      <c r="J52" s="131" t="str">
        <f ca="1">OFFSET(L!$C$1,MATCH("Checker"&amp;ADDRESS(ROW(),COLUMN(),4),L!$A:$A,0)-1,SL,,)</f>
        <v>在“申报”选项卡 D68 单元格中申报在此调查回答中所申报产品范围内使用的指定矿产是否完全来自回收料或报废料</v>
      </c>
    </row>
    <row r="53" spans="1:10" ht="55.5" customHeight="1">
      <c r="A53" s="79" t="str">
        <f>Declaration!B69</f>
        <v/>
      </c>
      <c r="B53" s="78">
        <f>Declaration!D69</f>
        <v>0</v>
      </c>
      <c r="C53" s="135" t="str">
        <f t="shared" ca="1" si="20"/>
        <v>填写</v>
      </c>
      <c r="D53" s="316" t="str">
        <f t="shared" si="21"/>
        <v/>
      </c>
      <c r="E53" s="16"/>
      <c r="F53" s="83">
        <f t="shared" si="22"/>
        <v>0</v>
      </c>
      <c r="G53" s="61">
        <f t="shared" si="23"/>
        <v>1</v>
      </c>
      <c r="H53" s="62">
        <f t="shared" si="24"/>
        <v>0</v>
      </c>
      <c r="I53" s="130" t="str">
        <f ca="1">OFFSET(L!$C$1,MATCH("Checker"&amp;"Comp",L!$A:$A,0)-1,SL,,)</f>
        <v>填写</v>
      </c>
      <c r="J53" s="131" t="str">
        <f ca="1">OFFSET(L!$C$1,MATCH("Checker"&amp;ADDRESS(ROW(),COLUMN(),4),L!$A:$A,0)-1,SL,,)</f>
        <v>在“申报”选项卡 D69 单元格中申报在此调查回答中所申报产品范围内使用的指定矿产是否完全来自回收料或报废料</v>
      </c>
    </row>
    <row r="54" spans="1:10" ht="55.5" customHeight="1">
      <c r="A54" s="79" t="str">
        <f>Declaration!B70</f>
        <v/>
      </c>
      <c r="B54" s="78">
        <f>Declaration!D70</f>
        <v>0</v>
      </c>
      <c r="C54" s="135" t="str">
        <f t="shared" ca="1" si="20"/>
        <v>填写</v>
      </c>
      <c r="D54" s="316" t="str">
        <f t="shared" si="21"/>
        <v/>
      </c>
      <c r="E54" s="16"/>
      <c r="F54" s="83">
        <f t="shared" si="22"/>
        <v>0</v>
      </c>
      <c r="G54" s="61">
        <f t="shared" si="23"/>
        <v>1</v>
      </c>
      <c r="H54" s="62">
        <f t="shared" si="24"/>
        <v>0</v>
      </c>
      <c r="I54" s="130" t="str">
        <f ca="1">OFFSET(L!$C$1,MATCH("Checker"&amp;"Comp",L!$A:$A,0)-1,SL,,)</f>
        <v>填写</v>
      </c>
      <c r="J54" s="131" t="str">
        <f ca="1">OFFSET(L!$C$1,MATCH("Checker"&amp;ADDRESS(ROW(),COLUMN(),4),L!$A:$A,0)-1,SL,,)</f>
        <v>在“申报”选项卡 D70 单元格中申报在此调查回答中所申报产品范围内使用的指定矿产是否完全来自回收料或报废料</v>
      </c>
    </row>
    <row r="55" spans="1:10" ht="55.5" customHeight="1">
      <c r="A55" s="79" t="str">
        <f>Declaration!B71</f>
        <v/>
      </c>
      <c r="B55" s="78">
        <f>Declaration!D71</f>
        <v>0</v>
      </c>
      <c r="C55" s="135" t="str">
        <f t="shared" ca="1" si="20"/>
        <v>填写</v>
      </c>
      <c r="D55" s="316" t="str">
        <f t="shared" si="21"/>
        <v/>
      </c>
      <c r="E55" s="16"/>
      <c r="F55" s="83">
        <f t="shared" si="22"/>
        <v>0</v>
      </c>
      <c r="G55" s="61">
        <f t="shared" si="23"/>
        <v>1</v>
      </c>
      <c r="H55" s="62">
        <f t="shared" si="24"/>
        <v>0</v>
      </c>
      <c r="I55" s="130" t="str">
        <f ca="1">OFFSET(L!$C$1,MATCH("Checker"&amp;"Comp",L!$A:$A,0)-1,SL,,)</f>
        <v>填写</v>
      </c>
      <c r="J55" s="131" t="str">
        <f ca="1">OFFSET(L!$C$1,MATCH("Checker"&amp;ADDRESS(ROW(),COLUMN(),4),L!$A:$A,0)-1,SL,,)</f>
        <v>在“申报”选项卡 D71 单元格中申报在此调查回答中所申报产品范围内使用的指定矿产是否完全来自回收料或报废料</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百分之多少的相关供应商已对贵公司
的供应链调查提供答复？(*)</v>
      </c>
      <c r="B60" s="81"/>
      <c r="C60" s="81"/>
      <c r="D60" s="85"/>
      <c r="E60" s="16" t="s">
        <v>15</v>
      </c>
      <c r="F60" s="82"/>
    </row>
    <row r="61" spans="1:10" ht="27.5">
      <c r="A61" s="79" t="str">
        <f>Declaration!B78</f>
        <v>Cobalt(*)</v>
      </c>
      <c r="B61" s="78">
        <f>Declaration!D78</f>
        <v>0</v>
      </c>
      <c r="C61" s="135" t="str">
        <f t="shared" ca="1" si="3"/>
        <v>在“申报”选项卡 D78 单元格中提供供应商的冶炼厂信息填写百分比</v>
      </c>
      <c r="D61" s="317" t="str">
        <f>IF(H61=1,"Click here to answer question 5 for specified mineral","")</f>
        <v>Click here to answer question 5 for specified mineral</v>
      </c>
      <c r="E61" s="16" t="s">
        <v>18</v>
      </c>
      <c r="F61" s="83">
        <f>F50</f>
        <v>1</v>
      </c>
      <c r="G61" s="61">
        <f t="shared" si="14"/>
        <v>1</v>
      </c>
      <c r="H61" s="62">
        <f t="shared" si="15"/>
        <v>1</v>
      </c>
      <c r="I61" s="130" t="str">
        <f ca="1">OFFSET(L!$C$1,MATCH("Checker"&amp;"Comp",L!$A:$A,0)-1,SL,,)</f>
        <v>填写</v>
      </c>
      <c r="J61" s="15" t="str">
        <f ca="1">OFFSET(L!$C$1,MATCH("Checker"&amp;ADDRESS(ROW(),COLUMN(),4),L!$A:$A,0)-1,SL,,)</f>
        <v>在“申报”选项卡 D78 单元格中提供供应商的冶炼厂信息填写百分比</v>
      </c>
    </row>
    <row r="62" spans="1:10" ht="27.5">
      <c r="A62" s="79" t="str">
        <f>Declaration!B79</f>
        <v/>
      </c>
      <c r="B62" s="78">
        <f>Declaration!D79</f>
        <v>0</v>
      </c>
      <c r="C62" s="135" t="str">
        <f t="shared" ca="1" si="3"/>
        <v>填写</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填写</v>
      </c>
      <c r="J62" s="15" t="str">
        <f ca="1">OFFSET(L!$C$1,MATCH("Checker"&amp;ADDRESS(ROW(),COLUMN(),4),L!$A:$A,0)-1,SL,,)</f>
        <v>在“申报”选项卡 D79 单元格中提供供应商的冶炼厂信息填写百分比</v>
      </c>
    </row>
    <row r="63" spans="1:10" ht="27">
      <c r="A63" s="79" t="str">
        <f>Declaration!B80</f>
        <v/>
      </c>
      <c r="B63" s="78">
        <f>Declaration!D80</f>
        <v>0</v>
      </c>
      <c r="C63" s="135" t="str">
        <f t="shared" ca="1" si="3"/>
        <v>填写</v>
      </c>
      <c r="D63" s="317" t="str">
        <f t="shared" si="25"/>
        <v/>
      </c>
      <c r="E63" s="16"/>
      <c r="F63" s="83">
        <f t="shared" si="26"/>
        <v>0</v>
      </c>
      <c r="G63" s="61">
        <f t="shared" si="27"/>
        <v>1</v>
      </c>
      <c r="H63" s="62">
        <f t="shared" si="28"/>
        <v>0</v>
      </c>
      <c r="I63" s="130" t="str">
        <f ca="1">OFFSET(L!$C$1,MATCH("Checker"&amp;"Comp",L!$A:$A,0)-1,SL,,)</f>
        <v>填写</v>
      </c>
      <c r="J63" s="15" t="str">
        <f ca="1">OFFSET(L!$C$1,MATCH("Checker"&amp;ADDRESS(ROW(),COLUMN(),4),L!$A:$A,0)-1,SL,,)</f>
        <v>在“申报”选项卡 D80 单元格中提供供应商的冶炼厂信息填写百分比</v>
      </c>
    </row>
    <row r="64" spans="1:10" ht="27">
      <c r="A64" s="79" t="str">
        <f>Declaration!B81</f>
        <v/>
      </c>
      <c r="B64" s="78">
        <f>Declaration!D81</f>
        <v>0</v>
      </c>
      <c r="C64" s="135" t="str">
        <f t="shared" ca="1" si="3"/>
        <v>填写</v>
      </c>
      <c r="D64" s="317" t="str">
        <f t="shared" si="25"/>
        <v/>
      </c>
      <c r="E64" s="16"/>
      <c r="F64" s="83">
        <f t="shared" si="26"/>
        <v>0</v>
      </c>
      <c r="G64" s="61">
        <f t="shared" si="27"/>
        <v>1</v>
      </c>
      <c r="H64" s="62">
        <f t="shared" si="28"/>
        <v>0</v>
      </c>
      <c r="I64" s="130" t="str">
        <f ca="1">OFFSET(L!$C$1,MATCH("Checker"&amp;"Comp",L!$A:$A,0)-1,SL,,)</f>
        <v>填写</v>
      </c>
      <c r="J64" s="15" t="str">
        <f ca="1">OFFSET(L!$C$1,MATCH("Checker"&amp;ADDRESS(ROW(),COLUMN(),4),L!$A:$A,0)-1,SL,,)</f>
        <v>在“申报”选项卡 D81 单元格中提供供应商的冶炼厂信息填写百分比</v>
      </c>
    </row>
    <row r="65" spans="1:10" ht="27">
      <c r="A65" s="79" t="str">
        <f>Declaration!B82</f>
        <v/>
      </c>
      <c r="B65" s="78">
        <f>Declaration!D82</f>
        <v>0</v>
      </c>
      <c r="C65" s="135" t="str">
        <f t="shared" ca="1" si="3"/>
        <v>填写</v>
      </c>
      <c r="D65" s="317" t="str">
        <f t="shared" si="25"/>
        <v/>
      </c>
      <c r="E65" s="16"/>
      <c r="F65" s="83">
        <f t="shared" si="26"/>
        <v>0</v>
      </c>
      <c r="G65" s="61">
        <f t="shared" si="27"/>
        <v>1</v>
      </c>
      <c r="H65" s="62">
        <f t="shared" si="28"/>
        <v>0</v>
      </c>
      <c r="I65" s="130" t="str">
        <f ca="1">OFFSET(L!$C$1,MATCH("Checker"&amp;"Comp",L!$A:$A,0)-1,SL,,)</f>
        <v>填写</v>
      </c>
      <c r="J65" s="15" t="str">
        <f ca="1">OFFSET(L!$C$1,MATCH("Checker"&amp;ADDRESS(ROW(),COLUMN(),4),L!$A:$A,0)-1,SL,,)</f>
        <v>在“申报”选项卡 D82 单元格中提供供应商的冶炼厂信息填写百分比</v>
      </c>
    </row>
    <row r="66" spans="1:10" ht="27">
      <c r="A66" s="79" t="str">
        <f>Declaration!B83</f>
        <v/>
      </c>
      <c r="B66" s="78">
        <f>Declaration!D83</f>
        <v>0</v>
      </c>
      <c r="C66" s="135" t="str">
        <f t="shared" ca="1" si="3"/>
        <v>填写</v>
      </c>
      <c r="D66" s="317" t="str">
        <f t="shared" si="25"/>
        <v/>
      </c>
      <c r="E66" s="16"/>
      <c r="F66" s="83">
        <f t="shared" si="26"/>
        <v>0</v>
      </c>
      <c r="G66" s="61">
        <f t="shared" si="27"/>
        <v>1</v>
      </c>
      <c r="H66" s="62">
        <f t="shared" si="28"/>
        <v>0</v>
      </c>
      <c r="I66" s="130" t="str">
        <f ca="1">OFFSET(L!$C$1,MATCH("Checker"&amp;"Comp",L!$A:$A,0)-1,SL,,)</f>
        <v>填写</v>
      </c>
      <c r="J66" s="15" t="str">
        <f ca="1">OFFSET(L!$C$1,MATCH("Checker"&amp;ADDRESS(ROW(),COLUMN(),4),L!$A:$A,0)-1,SL,,)</f>
        <v>在“申报”选项卡 D83 单元格中提供供应商的冶炼厂信息填写百分比</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您是否识别出为贵公司的供应链供应指定矿产的所有冶炼厂或加工厂？(*)</v>
      </c>
      <c r="B71" s="81"/>
      <c r="C71" s="81"/>
      <c r="D71" s="85"/>
      <c r="E71" s="16" t="s">
        <v>13</v>
      </c>
      <c r="F71" s="82"/>
    </row>
    <row r="72" spans="1:10" ht="54.5">
      <c r="A72" s="79" t="str">
        <f>Declaration!B90</f>
        <v>Cobalt(*)</v>
      </c>
      <c r="B72" s="78">
        <f>Declaration!D90</f>
        <v>0</v>
      </c>
      <c r="C72" s="135" t="str">
        <f t="shared" ca="1" si="3"/>
        <v>在“申报”选项卡 D90 单元格中申报是否在此调查回答内的申报产品范围下面提供了所有冶炼厂名称</v>
      </c>
      <c r="D72" s="317" t="str">
        <f>IF(H72=1,"Click here to answer question 6 for specified mineral","")</f>
        <v>Click here to answer question 6 for specified mineral</v>
      </c>
      <c r="E72" s="16" t="s">
        <v>13</v>
      </c>
      <c r="F72" s="83">
        <f>F61</f>
        <v>1</v>
      </c>
      <c r="G72" s="61">
        <f t="shared" ref="G72" si="29">IF(B72=0,1,0)</f>
        <v>1</v>
      </c>
      <c r="H72" s="62">
        <f t="shared" ref="H72" si="30">F72*G72</f>
        <v>1</v>
      </c>
      <c r="I72" s="130"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4.5">
      <c r="A73" s="79" t="str">
        <f>Declaration!B91</f>
        <v/>
      </c>
      <c r="B73" s="78">
        <f>Declaration!D91</f>
        <v>0</v>
      </c>
      <c r="C73" s="135" t="str">
        <f t="shared" ref="C73:C81" ca="1" si="31">IF(H73=1,J73,I73)</f>
        <v>填写</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27">
      <c r="A74" s="79" t="str">
        <f>Declaration!B92</f>
        <v/>
      </c>
      <c r="B74" s="78">
        <f>Declaration!D92</f>
        <v>0</v>
      </c>
      <c r="C74" s="135" t="str">
        <f t="shared" ca="1" si="31"/>
        <v>填写</v>
      </c>
      <c r="D74" s="317" t="str">
        <f t="shared" si="32"/>
        <v/>
      </c>
      <c r="E74" s="16"/>
      <c r="F74" s="83">
        <f t="shared" si="33"/>
        <v>0</v>
      </c>
      <c r="G74" s="61">
        <f t="shared" si="34"/>
        <v>1</v>
      </c>
      <c r="H74" s="62">
        <f t="shared" si="35"/>
        <v>0</v>
      </c>
      <c r="I74" s="130"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27">
      <c r="A75" s="79" t="str">
        <f>Declaration!B93</f>
        <v/>
      </c>
      <c r="B75" s="78">
        <f>Declaration!D93</f>
        <v>0</v>
      </c>
      <c r="C75" s="135" t="str">
        <f t="shared" ca="1" si="31"/>
        <v>填写</v>
      </c>
      <c r="D75" s="317" t="str">
        <f t="shared" si="32"/>
        <v/>
      </c>
      <c r="E75" s="16"/>
      <c r="F75" s="83">
        <f t="shared" si="33"/>
        <v>0</v>
      </c>
      <c r="G75" s="61">
        <f t="shared" si="34"/>
        <v>1</v>
      </c>
      <c r="H75" s="62">
        <f t="shared" si="35"/>
        <v>0</v>
      </c>
      <c r="I75" s="130"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27">
      <c r="A76" s="79" t="str">
        <f>Declaration!B94</f>
        <v/>
      </c>
      <c r="B76" s="78">
        <f>Declaration!D94</f>
        <v>0</v>
      </c>
      <c r="C76" s="135" t="str">
        <f t="shared" ca="1" si="31"/>
        <v>填写</v>
      </c>
      <c r="D76" s="317" t="str">
        <f t="shared" si="32"/>
        <v/>
      </c>
      <c r="E76" s="16"/>
      <c r="F76" s="83">
        <f t="shared" si="33"/>
        <v>0</v>
      </c>
      <c r="G76" s="61">
        <f t="shared" si="34"/>
        <v>1</v>
      </c>
      <c r="H76" s="62">
        <f t="shared" si="35"/>
        <v>0</v>
      </c>
      <c r="I76" s="130"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27">
      <c r="A77" s="79" t="str">
        <f>Declaration!B95</f>
        <v/>
      </c>
      <c r="B77" s="78">
        <f>Declaration!D95</f>
        <v>0</v>
      </c>
      <c r="C77" s="135" t="str">
        <f t="shared" ca="1" si="31"/>
        <v>填写</v>
      </c>
      <c r="D77" s="317" t="str">
        <f t="shared" si="32"/>
        <v/>
      </c>
      <c r="E77" s="16"/>
      <c r="F77" s="83">
        <f t="shared" si="33"/>
        <v>0</v>
      </c>
      <c r="G77" s="61">
        <f t="shared" si="34"/>
        <v>1</v>
      </c>
      <c r="H77" s="62">
        <f t="shared" si="35"/>
        <v>0</v>
      </c>
      <c r="I77" s="130"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贵公司收到的所有适用冶炼厂或加工厂信息是否已在此申报中报告？(*)</v>
      </c>
      <c r="B82" s="81"/>
      <c r="C82" s="81"/>
      <c r="D82" s="85"/>
      <c r="E82" s="16" t="s">
        <v>16</v>
      </c>
      <c r="F82" s="82"/>
    </row>
    <row r="83" spans="1:10" ht="41.5" customHeight="1">
      <c r="A83" s="79" t="str">
        <f>Declaration!B102</f>
        <v>Cobalt(*)</v>
      </c>
      <c r="B83" s="78">
        <f>Declaration!D102</f>
        <v>0</v>
      </c>
      <c r="C83" s="135" t="str">
        <f t="shared" ref="C83:C92" ca="1" si="36">IF(H83=1,J83,I83)</f>
        <v>在“申报”选项卡 D102 单元格中申报是否已提供所有适用指定矿产冶炼厂信息</v>
      </c>
      <c r="D83" s="317" t="str">
        <f>IF(H83=1,"Click here to answer question 7 for specified mineral","")</f>
        <v>Click here to answer question 7 for specified mineral</v>
      </c>
      <c r="E83" s="16" t="s">
        <v>15</v>
      </c>
      <c r="F83" s="83">
        <f>F72</f>
        <v>1</v>
      </c>
      <c r="G83" s="61">
        <f t="shared" ref="G83" si="37">IF(B83=0,1,0)</f>
        <v>1</v>
      </c>
      <c r="H83" s="62">
        <f t="shared" ref="H83" si="38">F83*G83</f>
        <v>1</v>
      </c>
      <c r="I83" s="130" t="str">
        <f ca="1">OFFSET(L!$C$1,MATCH("Checker"&amp;"Comp",L!$A:$A,0)-1,SL,,)</f>
        <v>填写</v>
      </c>
      <c r="J83" s="15" t="str">
        <f ca="1">OFFSET(L!$C$1,MATCH("Checker"&amp;ADDRESS(ROW(),COLUMN(),4),L!$A:$A,0)-1,SL,,)</f>
        <v>在“申报”选项卡 D102 单元格中申报是否已提供所有适用指定矿产冶炼厂信息</v>
      </c>
    </row>
    <row r="84" spans="1:10" ht="41.5" customHeight="1">
      <c r="A84" s="79" t="str">
        <f>Declaration!B103</f>
        <v/>
      </c>
      <c r="B84" s="78">
        <f>Declaration!D103</f>
        <v>0</v>
      </c>
      <c r="C84" s="135" t="str">
        <f t="shared" ca="1" si="36"/>
        <v>填写</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填写</v>
      </c>
      <c r="J84" s="15" t="str">
        <f ca="1">OFFSET(L!$C$1,MATCH("Checker"&amp;ADDRESS(ROW(),COLUMN(),4),L!$A:$A,0)-1,SL,,)</f>
        <v>在“申报”选项卡 D103 单元格中申报是否已提供所有适用指定矿产冶炼厂信息</v>
      </c>
    </row>
    <row r="85" spans="1:10" ht="41.5" customHeight="1">
      <c r="A85" s="79" t="str">
        <f>Declaration!B104</f>
        <v/>
      </c>
      <c r="B85" s="78">
        <f>Declaration!D104</f>
        <v>0</v>
      </c>
      <c r="C85" s="135" t="str">
        <f t="shared" ca="1" si="36"/>
        <v>填写</v>
      </c>
      <c r="D85" s="317" t="str">
        <f t="shared" si="39"/>
        <v/>
      </c>
      <c r="E85" s="16"/>
      <c r="F85" s="83">
        <f t="shared" si="40"/>
        <v>0</v>
      </c>
      <c r="G85" s="61">
        <f t="shared" si="41"/>
        <v>1</v>
      </c>
      <c r="H85" s="62">
        <f t="shared" si="42"/>
        <v>0</v>
      </c>
      <c r="I85" s="130" t="str">
        <f ca="1">OFFSET(L!$C$1,MATCH("Checker"&amp;"Comp",L!$A:$A,0)-1,SL,,)</f>
        <v>填写</v>
      </c>
      <c r="J85" s="15" t="str">
        <f ca="1">OFFSET(L!$C$1,MATCH("Checker"&amp;ADDRESS(ROW(),COLUMN(),4),L!$A:$A,0)-1,SL,,)</f>
        <v>在“申报”选项卡 D104 单元格中申报是否已提供所有适用指定矿产冶炼厂信息</v>
      </c>
    </row>
    <row r="86" spans="1:10" ht="41.5" customHeight="1">
      <c r="A86" s="79" t="str">
        <f>Declaration!B105</f>
        <v/>
      </c>
      <c r="B86" s="78">
        <f>Declaration!D105</f>
        <v>0</v>
      </c>
      <c r="C86" s="135" t="str">
        <f t="shared" ca="1" si="36"/>
        <v>填写</v>
      </c>
      <c r="D86" s="317" t="str">
        <f t="shared" si="39"/>
        <v/>
      </c>
      <c r="E86" s="16"/>
      <c r="F86" s="83">
        <f t="shared" si="40"/>
        <v>0</v>
      </c>
      <c r="G86" s="61">
        <f t="shared" si="41"/>
        <v>1</v>
      </c>
      <c r="H86" s="62">
        <f t="shared" si="42"/>
        <v>0</v>
      </c>
      <c r="I86" s="130" t="str">
        <f ca="1">OFFSET(L!$C$1,MATCH("Checker"&amp;"Comp",L!$A:$A,0)-1,SL,,)</f>
        <v>填写</v>
      </c>
      <c r="J86" s="15" t="str">
        <f ca="1">OFFSET(L!$C$1,MATCH("Checker"&amp;ADDRESS(ROW(),COLUMN(),4),L!$A:$A,0)-1,SL,,)</f>
        <v>在“申报”选项卡 D105 单元格中申报是否已提供所有适用指定矿产冶炼厂信息</v>
      </c>
    </row>
    <row r="87" spans="1:10" ht="41.5" customHeight="1">
      <c r="A87" s="79" t="str">
        <f>Declaration!B106</f>
        <v/>
      </c>
      <c r="B87" s="78">
        <f>Declaration!D106</f>
        <v>0</v>
      </c>
      <c r="C87" s="135" t="str">
        <f t="shared" ca="1" si="36"/>
        <v>填写</v>
      </c>
      <c r="D87" s="317" t="str">
        <f t="shared" si="39"/>
        <v/>
      </c>
      <c r="E87" s="16"/>
      <c r="F87" s="83">
        <f t="shared" si="40"/>
        <v>0</v>
      </c>
      <c r="G87" s="61">
        <f t="shared" si="41"/>
        <v>1</v>
      </c>
      <c r="H87" s="62">
        <f t="shared" si="42"/>
        <v>0</v>
      </c>
      <c r="I87" s="130" t="str">
        <f ca="1">OFFSET(L!$C$1,MATCH("Checker"&amp;"Comp",L!$A:$A,0)-1,SL,,)</f>
        <v>填写</v>
      </c>
      <c r="J87" s="15" t="str">
        <f ca="1">OFFSET(L!$C$1,MATCH("Checker"&amp;ADDRESS(ROW(),COLUMN(),4),L!$A:$A,0)-1,SL,,)</f>
        <v>在“申报”选项卡 D106 单元格中申报是否已提供所有适用指定矿产冶炼厂信息</v>
      </c>
    </row>
    <row r="88" spans="1:10" ht="41.5" customHeight="1">
      <c r="A88" s="79" t="str">
        <f>Declaration!B107</f>
        <v/>
      </c>
      <c r="B88" s="78">
        <f>Declaration!D107</f>
        <v>0</v>
      </c>
      <c r="C88" s="135" t="str">
        <f t="shared" ca="1" si="36"/>
        <v>填写</v>
      </c>
      <c r="D88" s="317" t="str">
        <f t="shared" si="39"/>
        <v/>
      </c>
      <c r="E88" s="16"/>
      <c r="F88" s="83">
        <f t="shared" si="40"/>
        <v>0</v>
      </c>
      <c r="G88" s="61">
        <f t="shared" si="41"/>
        <v>1</v>
      </c>
      <c r="H88" s="62">
        <f t="shared" si="42"/>
        <v>0</v>
      </c>
      <c r="I88" s="130" t="str">
        <f ca="1">OFFSET(L!$C$1,MATCH("Checker"&amp;"Comp",L!$A:$A,0)-1,SL,,)</f>
        <v>填写</v>
      </c>
      <c r="J88" s="15" t="str">
        <f ca="1">OFFSET(L!$C$1,MATCH("Checker"&amp;ADDRESS(ROW(),COLUMN(),4),L!$A:$A,0)-1,SL,,)</f>
        <v>在“申报”选项卡 D107 单元格中申报是否已提供所有适用指定矿产冶炼厂信息</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问题</v>
      </c>
      <c r="B93" s="81"/>
      <c r="C93" s="81"/>
      <c r="D93" s="85"/>
      <c r="E93" s="16" t="s">
        <v>18</v>
      </c>
      <c r="F93" s="82"/>
      <c r="G93" s="82"/>
      <c r="H93" s="82"/>
    </row>
    <row r="94" spans="1:10" ht="41">
      <c r="A94" s="78" t="str">
        <f ca="1">Declaration!B115</f>
        <v>A. 贵公司是否制定了可公开查阅的矿产采购政策？(*)</v>
      </c>
      <c r="B94" s="78">
        <f>Declaration!D115</f>
        <v>0</v>
      </c>
      <c r="C94" s="135" t="str">
        <f ca="1">IF(H94=1,J94,I94)</f>
        <v>在“申报”选项卡 D115 单元格中回答贵公司是否有负责任矿物采购政策</v>
      </c>
      <c r="D94" s="318" t="str">
        <f>IF(H94=1,"Click here to answer question (A)","")</f>
        <v>Click here to answer question (A)</v>
      </c>
      <c r="E94" s="16" t="s">
        <v>15</v>
      </c>
      <c r="F94" s="83">
        <f>IF(SUM(F$39:F$48)=0,0,1)</f>
        <v>1</v>
      </c>
      <c r="G94" s="61">
        <f t="shared" si="14"/>
        <v>1</v>
      </c>
      <c r="H94" s="62">
        <f t="shared" si="15"/>
        <v>1</v>
      </c>
      <c r="I94" s="130" t="str">
        <f ca="1">OFFSET(L!$C$1,MATCH("Checker"&amp;"Comp",L!$A:$A,0)-1,SL,,)</f>
        <v>填写</v>
      </c>
      <c r="J94" s="15" t="str">
        <f ca="1">OFFSET(L!$C$1,MATCH("Checker"&amp;ADDRESS(ROW(),COLUMN(),4),L!$A:$A,0)-1,SL,,)</f>
        <v>在“申报”选项卡 D115 单元格中回答贵公司是否有负责任矿物采购政策</v>
      </c>
    </row>
    <row r="95" spans="1:10" ht="41">
      <c r="A95" s="78" t="str">
        <f ca="1">Declaration!B117</f>
        <v>B. 贵公司的负责任矿产采购政策是否公开发布于贵公司网页上？（备注 - 如果是，请在注释字段中注明 URL。）(*)</v>
      </c>
      <c r="B95" s="78">
        <f>Declaration!D117</f>
        <v>0</v>
      </c>
      <c r="C95" s="135" t="str">
        <f ca="1">IF(H95=1,J95,I95)</f>
        <v>在“申报”选项卡 D117 单元格中回答贵公司是否在贵公司的网站上公开发布您的负责任矿物采购政策</v>
      </c>
      <c r="D95" s="319" t="str">
        <f>IF(H95=1,"Click here to answer question (B)","")</f>
        <v>Click here to answer question (B)</v>
      </c>
      <c r="E95" s="16" t="s">
        <v>15</v>
      </c>
      <c r="F95" s="83">
        <f t="shared" ref="F95:F111" si="43">F$94</f>
        <v>1</v>
      </c>
      <c r="G95" s="61">
        <f t="shared" si="14"/>
        <v>1</v>
      </c>
      <c r="H95" s="62">
        <f t="shared" si="15"/>
        <v>1</v>
      </c>
      <c r="I95" s="130"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 customHeight="1">
      <c r="A96" s="78" t="s">
        <v>53</v>
      </c>
      <c r="B96" s="78">
        <f>Declaration!G117</f>
        <v>0</v>
      </c>
      <c r="C96" s="78" t="str">
        <f ca="1">IF(H96=1,J96,I96)</f>
        <v>填写</v>
      </c>
      <c r="D96" s="320" t="str">
        <f>IF(H96=1,"Click here to answer question (C)","")</f>
        <v/>
      </c>
      <c r="E96" s="16" t="s">
        <v>15</v>
      </c>
      <c r="F96" s="83">
        <f>IF(AND(F95=1,B95="Yes"),1,0)</f>
        <v>0</v>
      </c>
      <c r="G96" s="61">
        <f>IF(LEN(B96)&gt;1,0,1)</f>
        <v>1</v>
      </c>
      <c r="H96" s="62">
        <f>F96*G96</f>
        <v>0</v>
      </c>
      <c r="I96" s="130" t="str">
        <f ca="1">OFFSET(L!$C$1,MATCH("Checker"&amp;"Comp",L!$A:$A,0)-1,SL,,)</f>
        <v>填写</v>
      </c>
      <c r="J96" s="15" t="str">
        <f ca="1">OFFSET(L!$C$1,MATCH("Checker"&amp;ADDRESS(ROW(),COLUMN(),4),L!$A:$A,0)-1,SL,,)</f>
        <v>如果您对问题 B 回答“是”，则在“申报”工作表的 G117 单元格中输入 URL。URL 的格式应为 "www.companyname.com"</v>
      </c>
    </row>
    <row r="97" spans="1:10" ht="54">
      <c r="A97" s="78" t="str">
        <f ca="1">Declaration!B119</f>
        <v>C. 贵公司是否要求贵公司的直接供应商从尽职调查实践经独立第三方审计计划验证过的冶炼厂采购指定矿产？(*)</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在“申报”选项卡 D120 单元格中回答贵公司是否要求贵公司的直接供应商从尽职调查实践经独立第三方审计计划，如负责任矿物审验流程，验证过的冶炼厂采购指定矿产。</v>
      </c>
      <c r="D98" s="319" t="str">
        <f>IF(H98=1,"Click here to answer question (C)","")</f>
        <v>Click here to answer question (C)</v>
      </c>
      <c r="E98" s="16"/>
      <c r="F98" s="83">
        <f>F39</f>
        <v>1</v>
      </c>
      <c r="G98" s="61">
        <f t="shared" si="14"/>
        <v>1</v>
      </c>
      <c r="H98" s="62">
        <f t="shared" si="15"/>
        <v>1</v>
      </c>
      <c r="I98" s="130"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8" t="str">
        <f>Declaration!B121</f>
        <v/>
      </c>
      <c r="B99" s="78">
        <f>Declaration!D121</f>
        <v>0</v>
      </c>
      <c r="C99" s="135" t="str">
        <f t="shared" ca="1" si="44"/>
        <v>填写</v>
      </c>
      <c r="D99" s="319" t="str">
        <f>IF(H99=1,"Click here to answer question (C)","")</f>
        <v/>
      </c>
      <c r="E99" s="16"/>
      <c r="F99" s="83">
        <f t="shared" ref="F99:F103" si="45">F40</f>
        <v>0</v>
      </c>
      <c r="G99" s="61">
        <f t="shared" si="14"/>
        <v>1</v>
      </c>
      <c r="H99" s="62">
        <f t="shared" si="15"/>
        <v>0</v>
      </c>
      <c r="I99" s="130"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8" t="str">
        <f>Declaration!B122</f>
        <v/>
      </c>
      <c r="B100" s="78">
        <f>Declaration!D122</f>
        <v>0</v>
      </c>
      <c r="C100" s="135" t="str">
        <f t="shared" ca="1" si="44"/>
        <v>填写</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8" t="str">
        <f>Declaration!B123</f>
        <v/>
      </c>
      <c r="B101" s="78">
        <f>Declaration!D123</f>
        <v>0</v>
      </c>
      <c r="C101" s="135" t="str">
        <f t="shared" ca="1" si="44"/>
        <v>填写</v>
      </c>
      <c r="D101" s="319" t="str">
        <f t="shared" si="46"/>
        <v/>
      </c>
      <c r="E101" s="16"/>
      <c r="F101" s="83">
        <f t="shared" si="45"/>
        <v>0</v>
      </c>
      <c r="G101" s="61">
        <f t="shared" si="47"/>
        <v>1</v>
      </c>
      <c r="H101" s="62">
        <f t="shared" si="48"/>
        <v>0</v>
      </c>
      <c r="I101" s="130"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8" t="str">
        <f>Declaration!B124</f>
        <v/>
      </c>
      <c r="B102" s="78">
        <f>Declaration!D124</f>
        <v>0</v>
      </c>
      <c r="C102" s="135" t="str">
        <f t="shared" ca="1" si="44"/>
        <v>填写</v>
      </c>
      <c r="D102" s="319" t="str">
        <f t="shared" si="46"/>
        <v/>
      </c>
      <c r="E102" s="16"/>
      <c r="F102" s="83">
        <f t="shared" si="45"/>
        <v>0</v>
      </c>
      <c r="G102" s="61">
        <f t="shared" si="47"/>
        <v>1</v>
      </c>
      <c r="H102" s="62">
        <f t="shared" si="48"/>
        <v>0</v>
      </c>
      <c r="I102" s="130"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8" t="str">
        <f>Declaration!B125</f>
        <v/>
      </c>
      <c r="B103" s="78">
        <f>Declaration!D125</f>
        <v>0</v>
      </c>
      <c r="C103" s="135" t="str">
        <f t="shared" ca="1" si="44"/>
        <v>填写</v>
      </c>
      <c r="D103" s="319" t="str">
        <f t="shared" si="46"/>
        <v/>
      </c>
      <c r="E103" s="16"/>
      <c r="F103" s="83">
        <f t="shared" si="45"/>
        <v>0</v>
      </c>
      <c r="G103" s="61">
        <f t="shared" si="47"/>
        <v>1</v>
      </c>
      <c r="H103" s="62">
        <f t="shared" si="48"/>
        <v>0</v>
      </c>
      <c r="I103" s="130"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贵公司是否已实施负责任矿产采购的尽职调查措施？(*)</v>
      </c>
      <c r="B108" s="78">
        <f>Declaration!D131</f>
        <v>0</v>
      </c>
      <c r="C108" s="135" t="str">
        <f t="shared" ca="1" si="44"/>
        <v>在“申报”选项卡 D131 单元格中回答贵公司是否已为负责任矿物采购实施了尽职调查措施</v>
      </c>
      <c r="D108" s="319" t="str">
        <f>IF(H108=1,"Click here to answer question (D)","")</f>
        <v>Click here to answer question (D)</v>
      </c>
      <c r="E108" s="16" t="s">
        <v>15</v>
      </c>
      <c r="F108" s="83">
        <f t="shared" si="43"/>
        <v>1</v>
      </c>
      <c r="G108" s="61">
        <f t="shared" si="14"/>
        <v>1</v>
      </c>
      <c r="H108" s="62">
        <f t="shared" si="15"/>
        <v>1</v>
      </c>
      <c r="I108" s="130" t="str">
        <f ca="1">OFFSET(L!$C$1,MATCH("Checker"&amp;"Comp",L!$A:$A,0)-1,SL,,)</f>
        <v>填写</v>
      </c>
      <c r="J108" s="15" t="str">
        <f ca="1">OFFSET(L!$C$1,MATCH("Checker"&amp;ADDRESS(ROW(),COLUMN(),4),L!$A:$A,0)-1,SL,,)</f>
        <v>在“申报”选项卡 D131 单元格中回答贵公司是否已为负责任矿物采购实施了尽职调查措施</v>
      </c>
    </row>
    <row r="109" spans="1:10" ht="41">
      <c r="A109" s="78" t="str">
        <f ca="1">Declaration!B133</f>
        <v>E. 贵公司是否针对相关供应商进行指定矿产供应链调查？(*)</v>
      </c>
      <c r="B109" s="78">
        <f>Declaration!D133</f>
        <v>0</v>
      </c>
      <c r="C109" s="135" t="str">
        <f t="shared" ca="1" si="44"/>
        <v>在“申报”选项卡 D133 单元格中回答贵公司是否实施指定矿产供应链调查</v>
      </c>
      <c r="D109" s="319" t="str">
        <f>IF(H109=1,"Click here to answer question (E)","")</f>
        <v>Click here to answer question (E)</v>
      </c>
      <c r="E109" s="16" t="s">
        <v>15</v>
      </c>
      <c r="F109" s="83">
        <f t="shared" si="43"/>
        <v>1</v>
      </c>
      <c r="G109" s="61">
        <f>IF(B109=0,1,0)</f>
        <v>1</v>
      </c>
      <c r="H109" s="62">
        <f t="shared" si="15"/>
        <v>1</v>
      </c>
      <c r="I109" s="130" t="str">
        <f ca="1">OFFSET(L!$C$1,MATCH("Checker"&amp;"Comp",L!$A:$A,0)-1,SL,,)</f>
        <v>填写</v>
      </c>
      <c r="J109" s="15" t="str">
        <f ca="1">OFFSET(L!$C$1,MATCH("Checker"&amp;ADDRESS(ROW(),COLUMN(),4),L!$A:$A,0)-1,SL,,)</f>
        <v>在“申报”选项卡 D133 单元格中回答贵公司是否实施指定矿产供应链调查</v>
      </c>
    </row>
    <row r="110" spans="1:10" ht="41">
      <c r="A110" s="78" t="str">
        <f ca="1">Declaration!B135</f>
        <v>F. 贵公司是否会根据预期审核从供应商处收到的尽职调查信息？(*)</v>
      </c>
      <c r="B110" s="78">
        <f>Declaration!D135</f>
        <v>0</v>
      </c>
      <c r="C110" s="135" t="str">
        <f t="shared" ca="1" si="44"/>
        <v>在“申报”选项卡 D135 单元格中回答贵公司的验证流程是否包括纠正措施管理</v>
      </c>
      <c r="D110" s="319" t="str">
        <f>IF(H110=1,"Click here to answer question (F)","")</f>
        <v>Click here to answer question (F)</v>
      </c>
      <c r="E110" s="16" t="s">
        <v>15</v>
      </c>
      <c r="F110" s="83">
        <f t="shared" si="43"/>
        <v>1</v>
      </c>
      <c r="G110" s="61">
        <f>IF(B110=0,1,0)</f>
        <v>1</v>
      </c>
      <c r="H110" s="62">
        <f t="shared" si="15"/>
        <v>1</v>
      </c>
      <c r="I110" s="130" t="str">
        <f ca="1">OFFSET(L!$C$1,MATCH("Checker"&amp;"Comp",L!$A:$A,0)-1,SL,,)</f>
        <v>填写</v>
      </c>
      <c r="J110" s="15" t="str">
        <f ca="1">OFFSET(L!$C$1,MATCH("Checker"&amp;ADDRESS(ROW(),COLUMN(),4),L!$A:$A,0)-1,SL,,)</f>
        <v>在“申报”选项卡 D135 单元格中回答贵公司的验证流程是否包括纠正措施管理</v>
      </c>
    </row>
    <row r="111" spans="1:10" ht="41">
      <c r="A111" s="78" t="str">
        <f ca="1">Declaration!B137</f>
        <v>G. 贵公司的审核流程是否包括纠错行动管理？ 
(*)</v>
      </c>
      <c r="B111" s="78">
        <f>Declaration!D137</f>
        <v>0</v>
      </c>
      <c r="C111" s="135" t="str">
        <f t="shared" ca="1" si="44"/>
        <v>在“申报”选项卡 D137 单元格中回答贵公司是否必须遵守 SEC 披露要求</v>
      </c>
      <c r="D111" s="319" t="str">
        <f>IF(H111=1,"Click here to answer question (G)","")</f>
        <v>Click here to answer question (G)</v>
      </c>
      <c r="E111" s="16" t="s">
        <v>15</v>
      </c>
      <c r="F111" s="83">
        <f t="shared" si="43"/>
        <v>1</v>
      </c>
      <c r="G111" s="61">
        <f t="shared" si="14"/>
        <v>1</v>
      </c>
      <c r="H111" s="62">
        <f t="shared" si="15"/>
        <v>1</v>
      </c>
      <c r="I111" s="130" t="str">
        <f ca="1">OFFSET(L!$C$1,MATCH("Checker"&amp;"Comp",L!$A:$A,0)-1,SL,,)</f>
        <v>填写</v>
      </c>
      <c r="J111" s="15" t="str">
        <f ca="1">OFFSET(L!$C$1,MATCH("Checker"&amp;ADDRESS(ROW(),COLUMN(),4),L!$A:$A,0)-1,SL,,)</f>
        <v>在“申报”选项卡 D137 单元格中回答贵公司是否必须遵守 SEC 披露要求</v>
      </c>
    </row>
    <row r="112" spans="1:10" ht="41">
      <c r="A112" s="79" t="s">
        <v>54</v>
      </c>
      <c r="B112" s="78" t="str">
        <f>IF(G112=1,"No products or item numbers listed","One or more product / item numbers have been provided")</f>
        <v>No products or item numbers listed</v>
      </c>
      <c r="C112" s="78" t="str">
        <f t="shared" ca="1" si="44"/>
        <v>填写</v>
      </c>
      <c r="D112" s="377" t="str">
        <f>IF(H112=1,"Click here to enter detail on Product List tab","")</f>
        <v/>
      </c>
      <c r="E112" s="16" t="s">
        <v>15</v>
      </c>
      <c r="F112" s="83">
        <f>IF(B5=Declaration!Q9,1,0)</f>
        <v>0</v>
      </c>
      <c r="G112" s="61">
        <f>IF('Product List'!B6="",1,0)</f>
        <v>1</v>
      </c>
      <c r="H112" s="62">
        <f>F112*G112</f>
        <v>0</v>
      </c>
      <c r="I112" s="130"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 customHeight="1">
      <c r="A113" s="79" t="s">
        <v>1115</v>
      </c>
      <c r="B113" s="78"/>
      <c r="C113" s="78"/>
      <c r="D113" s="191"/>
      <c r="E113" s="16"/>
      <c r="F113" s="83"/>
      <c r="G113" s="61"/>
      <c r="H113" s="62"/>
      <c r="I113" s="130"/>
    </row>
    <row r="114" spans="1:12" ht="41">
      <c r="A114" s="134" t="str">
        <f>Declaration!AA12</f>
        <v>Cobalt</v>
      </c>
      <c r="B114" s="78"/>
      <c r="C114" s="135" t="str">
        <f t="shared" ref="C114:C123" ca="1" si="49">IF(H114=1,J114,I114)</f>
        <v>在“冶炼厂目录”选项卡中，提供向供应链提供材料供此矿产的冶炼厂列表</v>
      </c>
      <c r="D114" s="376" t="str">
        <f>IF(H114=0,"","Click here to provide smelter information")</f>
        <v>Click here to provide smelter information</v>
      </c>
      <c r="E114" s="16" t="s">
        <v>15</v>
      </c>
      <c r="F114" s="83">
        <f>F39</f>
        <v>1</v>
      </c>
      <c r="G114" s="61">
        <f>IF(AND(COUNTIF(SmelterIdetifiedForMetal,A114)&gt;0,COUNTIF('Smelter List'!AB$5:AB$2504,A114)&gt;0),0,1)</f>
        <v>1</v>
      </c>
      <c r="H114" s="62">
        <f>F114*G114</f>
        <v>1</v>
      </c>
      <c r="I114" s="130" t="str">
        <f ca="1">OFFSET(L!$C$1,MATCH("Checker"&amp;"Comp",L!$A:$A,0)-1,SL,,)</f>
        <v>填写</v>
      </c>
      <c r="J114" s="15" t="str">
        <f ca="1">OFFSET(L!$C$1,MATCH("Checker"&amp;ADDRESS(ROW(),COLUMN(),4),L!$A:$A,0)-1,SL,,)</f>
        <v>在“冶炼厂目录”选项卡中，提供向供应链提供材料供此矿产的冶炼厂列表</v>
      </c>
      <c r="K114" s="133">
        <f>IF(H28&gt;0,1,0)</f>
        <v>1</v>
      </c>
    </row>
    <row r="115" spans="1:12" ht="41.5" customHeight="1">
      <c r="A115" s="134" t="str">
        <f>Declaration!AA13</f>
        <v/>
      </c>
      <c r="B115" s="78"/>
      <c r="C115" s="135" t="str">
        <f t="shared" ca="1" si="49"/>
        <v>填写</v>
      </c>
      <c r="D115" s="376" t="str">
        <f>IF(H115=0,"","Click here to provide smelter information")</f>
        <v/>
      </c>
      <c r="E115" s="16"/>
      <c r="F115" s="83">
        <f>F40</f>
        <v>0</v>
      </c>
      <c r="G115" s="61">
        <f>IF(AND(COUNTIF(SmelterIdetifiedForMetal,A115)&gt;0,COUNTIF('Smelter List'!AB$5:AB$2504,A115)&gt;0),0,1)</f>
        <v>0</v>
      </c>
      <c r="H115" s="62">
        <f>F115*G115</f>
        <v>0</v>
      </c>
      <c r="I115" s="130" t="str">
        <f ca="1">OFFSET(L!$C$1,MATCH("Checker"&amp;"Comp",L!$A:$A,0)-1,SL,,)</f>
        <v>填写</v>
      </c>
      <c r="J115" s="15" t="str">
        <f ca="1">OFFSET(L!$C$1,MATCH("Checker"&amp;ADDRESS(ROW(),COLUMN(),4),L!$A:$A,0)-1,SL,,)</f>
        <v>在“冶炼厂目录”选项卡中，提供向供应链提供材料供此矿产的冶炼厂列表</v>
      </c>
      <c r="K115" s="133">
        <f t="shared" ref="K115:K119" si="50">IF(H29&gt;0,1,0)</f>
        <v>0</v>
      </c>
    </row>
    <row r="116" spans="1:12" ht="41.5" customHeight="1">
      <c r="A116" s="134" t="str">
        <f>Declaration!AA14</f>
        <v/>
      </c>
      <c r="B116" s="78"/>
      <c r="C116" s="135" t="str">
        <f t="shared" ca="1" si="49"/>
        <v>填写</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填写</v>
      </c>
      <c r="J116" s="15" t="str">
        <f ca="1">OFFSET(L!$C$1,MATCH("Checker"&amp;ADDRESS(ROW(),COLUMN(),4),L!$A:$A,0)-1,SL,,)</f>
        <v>在“冶炼厂目录”选项卡中，提供向供应链提供材料供此矿产的冶炼厂列表</v>
      </c>
      <c r="K116" s="133">
        <f t="shared" si="50"/>
        <v>0</v>
      </c>
    </row>
    <row r="117" spans="1:12" ht="41.5" customHeight="1">
      <c r="A117" s="134" t="str">
        <f>Declaration!AA15</f>
        <v/>
      </c>
      <c r="B117" s="78"/>
      <c r="C117" s="135" t="str">
        <f t="shared" ca="1" si="49"/>
        <v>填写</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填写</v>
      </c>
      <c r="J117" s="15" t="str">
        <f ca="1">OFFSET(L!$C$1,MATCH("Checker"&amp;ADDRESS(ROW(),COLUMN(),4),L!$A:$A,0)-1,SL,,)</f>
        <v>在“冶炼厂目录”选项卡中，提供向供应链提供材料供此矿产的冶炼厂列表</v>
      </c>
      <c r="K117" s="133">
        <f t="shared" si="50"/>
        <v>0</v>
      </c>
    </row>
    <row r="118" spans="1:12" ht="41.5" customHeight="1">
      <c r="A118" s="134" t="str">
        <f>Declaration!AA16</f>
        <v/>
      </c>
      <c r="B118" s="78"/>
      <c r="C118" s="135" t="str">
        <f t="shared" ca="1" si="49"/>
        <v>填写</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填写</v>
      </c>
      <c r="J118" s="15" t="str">
        <f ca="1">OFFSET(L!$C$1,MATCH("Checker"&amp;ADDRESS(ROW(),COLUMN(),4),L!$A:$A,0)-1,SL,,)</f>
        <v>在“冶炼厂目录”选项卡中，提供向供应链提供材料供此矿产的冶炼厂列表</v>
      </c>
      <c r="K118" s="133">
        <f t="shared" si="50"/>
        <v>0</v>
      </c>
    </row>
    <row r="119" spans="1:12" ht="41.5" customHeight="1">
      <c r="A119" s="134" t="str">
        <f>Declaration!AA17</f>
        <v/>
      </c>
      <c r="B119" s="78"/>
      <c r="C119" s="135" t="str">
        <f t="shared" ca="1" si="49"/>
        <v>填写</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填写</v>
      </c>
      <c r="J119" s="15" t="str">
        <f ca="1">OFFSET(L!$C$1,MATCH("Checker"&amp;ADDRESS(ROW(),COLUMN(),4),L!$A:$A,0)-1,SL,,)</f>
        <v>在“冶炼厂目录”选项卡中，提供向供应链提供材料供此矿产的冶炼厂列表</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填写</v>
      </c>
      <c r="J124" s="15" t="s">
        <v>56</v>
      </c>
      <c r="K124" s="133"/>
      <c r="L124" s="15" t="s">
        <v>57</v>
      </c>
    </row>
    <row r="125" spans="1:12">
      <c r="H125" s="15">
        <f ca="1">SUM(H4:H124)</f>
        <v>23</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oddFooter>&amp;L_x000D_&amp;1#&amp;"Calibri"&amp;10&amp;K000000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首先：</v>
      </c>
      <c r="C2" s="471" t="s">
        <v>19178</v>
      </c>
      <c r="D2" s="471" t="s">
        <v>19178</v>
      </c>
      <c r="E2" s="324"/>
      <c r="F2" s="324"/>
      <c r="G2" s="325"/>
      <c r="H2" s="472"/>
      <c r="I2" s="473"/>
      <c r="J2" s="473"/>
      <c r="K2" s="473"/>
      <c r="L2" s="473"/>
      <c r="M2" s="473"/>
      <c r="N2" s="326"/>
      <c r="O2" s="326"/>
    </row>
    <row r="3" spans="1:19" s="322" customFormat="1" ht="94" customHeight="1" thickBot="1">
      <c r="A3" s="358"/>
      <c r="B3" s="474"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金属</v>
      </c>
      <c r="B4" s="364" t="str">
        <f ca="1">OFFSET(L!$C$1,MATCH("Mine List"&amp;ADDRESS(ROW(),COLUMN(),4),L!$A:$A,0)-1,SL,,)</f>
        <v>从该矿厂采购的冶炼厂的名称</v>
      </c>
      <c r="C4" s="364" t="str">
        <f ca="1">OFFSET(L!$C$1,MATCH("Mine List"&amp;ADDRESS(ROW(),COLUMN(),4),L!$A:$A,0)-1,SL,,)</f>
        <v>矿厂(矿场)名称</v>
      </c>
      <c r="D4" s="364" t="str">
        <f ca="1">OFFSET(L!$C$1,MATCH("Mine List"&amp;ADDRESS(ROW(),COLUMN(),4),L!$A:$A,0)-1,SL,,)</f>
        <v>矿厂识别（例如《CID》）</v>
      </c>
      <c r="E4" s="364" t="str">
        <f ca="1">OFFSET(L!$C$1,MATCH("Mine List"&amp;ADDRESS(ROW(),COLUMN(),4),L!$A:$A,0)-1,SL,,)</f>
        <v>冶炼厂出处识别号</v>
      </c>
      <c r="F4" s="364" t="str">
        <f ca="1">OFFSET(L!$C$1,MATCH("Mine List"&amp;ADDRESS(ROW(),COLUMN(),4),L!$A:$A,0)-1,SL,,)</f>
        <v>矿厂所在国家或地区</v>
      </c>
      <c r="G4" s="364" t="str">
        <f ca="1">OFFSET(L!$C$1,MATCH("Mine List"&amp;ADDRESS(ROW(),COLUMN(),4),L!$A:$A,0)-1,SL,,)</f>
        <v>矿厂所在街道</v>
      </c>
      <c r="H4" s="364" t="str">
        <f ca="1">OFFSET(L!$C$1,MATCH("Mine List"&amp;ADDRESS(ROW(),COLUMN(),4),L!$A:$A,0)-1,SL,,)</f>
        <v>矿厂所在城市</v>
      </c>
      <c r="I4" s="364" t="str">
        <f ca="1">OFFSET(L!$C$1,MATCH("Mine List"&amp;ADDRESS(ROW(),COLUMN(),4),L!$A:$A,0)-1,SL,,)</f>
        <v>矿厂地址：州/省</v>
      </c>
      <c r="J4" s="364" t="str">
        <f ca="1">OFFSET(L!$C$1,MATCH("Mine List"&amp;ADDRESS(ROW(),COLUMN(),4),L!$A:$A,0)-1,SL,,)</f>
        <v>矿厂联系人</v>
      </c>
      <c r="K4" s="364" t="str">
        <f ca="1">OFFSET(L!$C$1,MATCH("Mine List"&amp;ADDRESS(ROW(),COLUMN(),4),L!$A:$A,0)-1,SL,,)</f>
        <v>矿厂联系人电子邮件</v>
      </c>
      <c r="L4" s="364" t="str">
        <f ca="1">OFFSET(L!$C$1,MATCH("Mine List"&amp;ADDRESS(ROW(),COLUMN(),4),L!$A:$A,0)-1,SL,,)</f>
        <v>建议的后续步骤</v>
      </c>
      <c r="M4" s="365" t="str">
        <f ca="1">OFFSET(L!$C$1,MATCH("Mine List"&amp;ADDRESS(ROW(),COLUMN(),4),L!$A:$A,0)-1,SL,,)</f>
        <v>注释</v>
      </c>
      <c r="N4" s="331" t="s">
        <v>43</v>
      </c>
      <c r="O4" s="331" t="s">
        <v>44</v>
      </c>
      <c r="P4" s="332"/>
      <c r="R4" s="333" t="s">
        <v>19107</v>
      </c>
      <c r="S4" s="333" t="s">
        <v>19108</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headerFooter>
    <oddFooter>&amp;L_x000D_&amp;1#&amp;"Calibri"&amp;10&amp;K000000 Internal</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在“申报“工作表上选择报告等级为“产品（或产品目录）”项时才必须完成此栏。</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回复方的产品编号 (*)</v>
      </c>
      <c r="C5" s="122" t="str">
        <f ca="1">OFFSET(L!$C$1,MATCH("Product List"&amp;ADDRESS(ROW(),COLUMN(),4),L!$A:$A,0)-1,SL,,)</f>
        <v>回复方的产品名称</v>
      </c>
      <c r="D5" s="122" t="str">
        <f ca="1">OFFSET(L!$C$1,MATCH("Product List"&amp;ADDRESS(ROW(),COLUMN(),4),L!$A:$A,0)-1,SL,,)</f>
        <v>请求方的产品编号</v>
      </c>
      <c r="E5" s="122" t="str">
        <f ca="1">OFFSET(L!$C$1,MATCH("Product List"&amp;ADDRESS(ROW(),COLUMN(),4),L!$A:$A,0)-1,SL,,)</f>
        <v>请求方的产品名称</v>
      </c>
      <c r="F5" s="63" t="str">
        <f ca="1">OFFSET(L!$C$1,MATCH("Product List"&amp;ADDRESS(ROW(),COLUMN(),4),L!$A:$A,0)-1,SL,,)</f>
        <v>备注</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负责任矿物计划。保留所有权利。</v>
      </c>
      <c r="C1001" s="480"/>
      <c r="D1001" s="480"/>
      <c r="E1001" s="480"/>
      <c r="F1001" s="480"/>
      <c r="G1001" s="21"/>
    </row>
    <row r="1002" spans="1:37" ht="14"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&amp;L_x000D_&amp;1#&amp;"Calibri"&amp;10&amp;K000000 Internal&amp;CPage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9218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金属</v>
      </c>
      <c r="B4" s="157" t="str">
        <f ca="1">OFFSET(L!$C$1,MATCH("Smelter Look-up"&amp;ADDRESS(ROW(),COLUMN(),4),L!$A:$A,0)-1,SL,,)</f>
        <v>冶炼厂查找 (*)</v>
      </c>
      <c r="C4" s="15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7">
        <f ca="1">OFFSET(L!$C$1,MATCH("Smelter Look-up"&amp;ADDRESS(ROW(),COLUMN(),4),L!$A:$A,0)-1,SL,,)</f>
        <v>0</v>
      </c>
      <c r="E4" s="157" t="str">
        <f ca="1">OFFSET(L!$C$1,MATCH("Smelter Look-up"&amp;ADDRESS(ROW(),COLUMN(),4),L!$A:$A,0)-1,SL,,)</f>
        <v>冶炼厂 ID</v>
      </c>
      <c r="F4" s="157" t="str">
        <f ca="1">OFFSET(L!$C$1,MATCH("Smelter Look-up"&amp;ADDRESS(ROW(),COLUMN(),4),L!$A:$A,0)-1,SL,,)</f>
        <v>冶炼厂出处识别号</v>
      </c>
      <c r="G4" s="157" t="str">
        <f ca="1">OFFSET(L!$C$1,MATCH("Smelter Look-up"&amp;ADDRESS(ROW(),COLUMN(),4),L!$A:$A,0)-1,SL,,)</f>
        <v>冶炼工厂地址（街道）</v>
      </c>
      <c r="H4" s="157" t="str">
        <f ca="1">OFFSET(L!$C$1,MATCH("Smelter Look-up"&amp;ADDRESS(ROW(),COLUMN(),4),L!$A:$A,0)-1,SL,,)</f>
        <v>冶炼工厂地址（城市）</v>
      </c>
      <c r="I4" s="157" t="str">
        <f ca="1">OFFSET(L!$C$1,MATCH("Smelter Look-up"&amp;ADDRESS(ROW(),COLUMN(),4),L!$A:$A,0)-1,SL,,)</f>
        <v>冶炼工厂地址（州/省）</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oddFooter>&amp;L_x000D_&amp;1#&amp;"Calibri"&amp;10&amp;K000000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9229e1-d9eb-40cf-aa20-8039fe5d6144}" enabled="1" method="Standard" siteId="{3ce358ea-700e-4f0f-bb37-fd0b7c21366c}" contentBits="2" removed="0"/>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2010-06-21T21:00:23Z</dcterms:created>
  <dcterms:modified xsi:type="dcterms:W3CDTF">2025-10-22T08:57:01Z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